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G:\Avdelning\Landsbygdsavdelningen\6.Landsbygdsutvecklingsenheten\Konkurrenskraft\Kompetensutveckling\Upphandlingar\Stalltävling 2016\Leverans o bedömning\Leveranser\Slaktgrisar - Espert\Slutleverans\"/>
    </mc:Choice>
  </mc:AlternateContent>
  <bookViews>
    <workbookView xWindow="0" yWindow="240" windowWidth="19200" windowHeight="6912" tabRatio="800" activeTab="2"/>
  </bookViews>
  <sheets>
    <sheet name="Intro" sheetId="9" r:id="rId1"/>
    <sheet name="Investeringskalkyl" sheetId="1" r:id="rId2"/>
    <sheet name="Driftkalkyl - Slaktgrisar" sheetId="3" r:id="rId3"/>
    <sheet name="Blad1" sheetId="12" r:id="rId4"/>
  </sheets>
  <definedNames>
    <definedName name="blue_a2">#REF!</definedName>
    <definedName name="Djurslag">#REF!</definedName>
    <definedName name="pristyp">#REF!</definedName>
    <definedName name="prodstorlek">#REF!</definedName>
    <definedName name="stodomrade">#REF!</definedName>
    <definedName name="Välj_djurslag">#REF!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2" l="1"/>
  <c r="K20" i="12"/>
  <c r="K21" i="12"/>
  <c r="H21" i="12"/>
  <c r="I21" i="12"/>
  <c r="I20" i="12"/>
  <c r="I17" i="12"/>
  <c r="F2" i="12"/>
  <c r="F57" i="1" l="1"/>
  <c r="E25" i="3" l="1"/>
  <c r="N19" i="12"/>
  <c r="H20" i="12"/>
  <c r="J20" i="12"/>
  <c r="E77" i="1"/>
  <c r="F63" i="1"/>
  <c r="F77" i="1"/>
  <c r="F45" i="1" l="1"/>
  <c r="C56" i="3"/>
  <c r="C57" i="3" s="1"/>
  <c r="D23" i="12"/>
  <c r="G17" i="12" l="1"/>
  <c r="H17" i="12" s="1"/>
  <c r="E7" i="12"/>
  <c r="E8" i="12" s="1"/>
  <c r="C40" i="3" l="1"/>
  <c r="F40" i="3" s="1"/>
  <c r="G40" i="3" s="1"/>
  <c r="K17" i="12"/>
  <c r="E30" i="3"/>
  <c r="E11" i="12"/>
  <c r="E10" i="12"/>
  <c r="C30" i="3" s="1"/>
  <c r="F30" i="3" s="1"/>
  <c r="C27" i="3"/>
  <c r="C48" i="3"/>
  <c r="F38" i="1"/>
  <c r="F42" i="1" s="1"/>
  <c r="C66" i="1"/>
  <c r="C44" i="3"/>
  <c r="B4" i="3"/>
  <c r="E6" i="3" s="1"/>
  <c r="F36" i="3"/>
  <c r="G36" i="3"/>
  <c r="F21" i="3"/>
  <c r="G21" i="3"/>
  <c r="F18" i="3"/>
  <c r="G18" i="3" s="1"/>
  <c r="F48" i="3"/>
  <c r="F47" i="3"/>
  <c r="G47" i="3" s="1"/>
  <c r="F46" i="3"/>
  <c r="G46" i="3" s="1"/>
  <c r="F45" i="3"/>
  <c r="G45" i="3"/>
  <c r="F33" i="3"/>
  <c r="G33" i="3" s="1"/>
  <c r="F34" i="3"/>
  <c r="G34" i="3"/>
  <c r="F35" i="3"/>
  <c r="G35" i="3" s="1"/>
  <c r="F32" i="3"/>
  <c r="G32" i="3"/>
  <c r="F31" i="3"/>
  <c r="G31" i="3" s="1"/>
  <c r="F29" i="3"/>
  <c r="G29" i="3"/>
  <c r="F27" i="3"/>
  <c r="G27" i="3" s="1"/>
  <c r="F26" i="3"/>
  <c r="G26" i="3"/>
  <c r="F25" i="3"/>
  <c r="F20" i="3"/>
  <c r="F19" i="3"/>
  <c r="G19" i="3"/>
  <c r="F34" i="1"/>
  <c r="B25" i="1"/>
  <c r="G25" i="3"/>
  <c r="F67" i="1"/>
  <c r="F50" i="1"/>
  <c r="F56" i="1"/>
  <c r="F36" i="1"/>
  <c r="B18" i="1"/>
  <c r="G48" i="3" l="1"/>
  <c r="B10" i="3" s="1"/>
  <c r="F68" i="1"/>
  <c r="F71" i="1" s="1"/>
  <c r="G20" i="3"/>
  <c r="G22" i="3" s="1"/>
  <c r="F22" i="3"/>
  <c r="G30" i="3"/>
  <c r="F38" i="3"/>
  <c r="F74" i="1" l="1"/>
  <c r="F69" i="1"/>
  <c r="F70" i="1" s="1"/>
  <c r="B20" i="1" s="1"/>
  <c r="E39" i="3"/>
  <c r="F39" i="3" s="1"/>
  <c r="G39" i="3" s="1"/>
  <c r="B12" i="3"/>
  <c r="G38" i="3"/>
  <c r="C41" i="3"/>
  <c r="F41" i="3" s="1"/>
  <c r="F72" i="1" l="1"/>
  <c r="G41" i="3"/>
  <c r="F43" i="3"/>
  <c r="E44" i="3" l="1"/>
  <c r="F44" i="3" s="1"/>
  <c r="G43" i="3"/>
  <c r="B13" i="3"/>
  <c r="F50" i="3" l="1"/>
  <c r="G44" i="3"/>
  <c r="G50" i="3" l="1"/>
  <c r="F51" i="3"/>
  <c r="F53" i="3" s="1"/>
  <c r="B14" i="3"/>
  <c r="B8" i="3" s="1"/>
  <c r="G51" i="3" l="1"/>
  <c r="B9" i="3"/>
  <c r="E8" i="3"/>
  <c r="B21" i="1"/>
  <c r="B22" i="1" s="1"/>
  <c r="B27" i="1" l="1"/>
  <c r="B28" i="1"/>
</calcChain>
</file>

<file path=xl/comments1.xml><?xml version="1.0" encoding="utf-8"?>
<comments xmlns="http://schemas.openxmlformats.org/spreadsheetml/2006/main">
  <authors>
    <author>Jonas Fjertorp</author>
  </authors>
  <commentList>
    <comment ref="E47" authorId="0" shapeId="0">
      <text>
        <r>
          <rPr>
            <sz val="9"/>
            <color indexed="81"/>
            <rFont val="Tahoma"/>
            <family val="2"/>
          </rPr>
          <t>Minst 220 kr per timme (inkl. sociala avgifter)</t>
        </r>
      </text>
    </comment>
  </commentList>
</comments>
</file>

<file path=xl/sharedStrings.xml><?xml version="1.0" encoding="utf-8"?>
<sst xmlns="http://schemas.openxmlformats.org/spreadsheetml/2006/main" count="205" uniqueCount="158">
  <si>
    <t>Total yta</t>
  </si>
  <si>
    <t>m2</t>
  </si>
  <si>
    <t>Byggdelar</t>
  </si>
  <si>
    <t>Utgift</t>
  </si>
  <si>
    <t>Kr/enhet</t>
  </si>
  <si>
    <t>Antal/yta</t>
  </si>
  <si>
    <t>Not</t>
  </si>
  <si>
    <t>Markarbete</t>
  </si>
  <si>
    <t>Byggnad</t>
  </si>
  <si>
    <t>Stallbyggnad</t>
  </si>
  <si>
    <t>Personalutrymmen</t>
  </si>
  <si>
    <t>Foderutrymmen</t>
  </si>
  <si>
    <t>Övriga serviceutrymmen</t>
  </si>
  <si>
    <t>Installationer</t>
  </si>
  <si>
    <t>VA-installationer</t>
  </si>
  <si>
    <t>El framdragning/anslutning</t>
  </si>
  <si>
    <t>El-installationer</t>
  </si>
  <si>
    <t>Ventilation</t>
  </si>
  <si>
    <t>Övriga installationer</t>
  </si>
  <si>
    <t>Utgödsling</t>
  </si>
  <si>
    <t>Gödselpump</t>
  </si>
  <si>
    <t>Pumpbrunn</t>
  </si>
  <si>
    <t>Gödselbrunn</t>
  </si>
  <si>
    <t>Byggledning</t>
  </si>
  <si>
    <t>Markarbete för byggnader &amp; brunnar</t>
  </si>
  <si>
    <t>Vägar &amp; planer</t>
  </si>
  <si>
    <t>Inredning &amp; utrustning</t>
  </si>
  <si>
    <t>Delsumma markarbete</t>
  </si>
  <si>
    <t>Delsumma installationer</t>
  </si>
  <si>
    <t>Delsumma inredning &amp; utrustning</t>
  </si>
  <si>
    <t>Delsumma gödselvårdsanläggning</t>
  </si>
  <si>
    <t>Enhet</t>
  </si>
  <si>
    <t>Antal djurplatser</t>
  </si>
  <si>
    <t>Utrymmen för besök</t>
  </si>
  <si>
    <t>Utvecklingsgrupp</t>
  </si>
  <si>
    <t>Organisation</t>
  </si>
  <si>
    <t>Namn</t>
  </si>
  <si>
    <t>Kalkylmall</t>
  </si>
  <si>
    <t>slaktgrisar</t>
  </si>
  <si>
    <t/>
  </si>
  <si>
    <t>kr</t>
  </si>
  <si>
    <t>st</t>
  </si>
  <si>
    <t>Nationellt stöd</t>
  </si>
  <si>
    <t>kg</t>
  </si>
  <si>
    <t>Strömedel</t>
  </si>
  <si>
    <t>El</t>
  </si>
  <si>
    <t>kWh</t>
  </si>
  <si>
    <t>Produktionsrådgivning</t>
  </si>
  <si>
    <t>SUMMA SÄRKOSTNADER 1</t>
  </si>
  <si>
    <t>Ränta djurkapital</t>
  </si>
  <si>
    <t>SUMMA SÄRKOSTNADER 2</t>
  </si>
  <si>
    <t>Byggnader, avskr + ränta</t>
  </si>
  <si>
    <t>tim</t>
  </si>
  <si>
    <t>SUMMA SÄRKOSTNADER 3</t>
  </si>
  <si>
    <t>Grundförutsättningar</t>
  </si>
  <si>
    <t>Arbete (inkl. eget arbete)</t>
  </si>
  <si>
    <t>%</t>
  </si>
  <si>
    <t>Pris per enhet</t>
  </si>
  <si>
    <t>Övriga kostnader</t>
  </si>
  <si>
    <t>Nyckeltal</t>
  </si>
  <si>
    <t>Försäkringar för stallbyggnad</t>
  </si>
  <si>
    <t>Försäkringar för djur</t>
  </si>
  <si>
    <t>Investeringsstöd enligt schablon, totalt</t>
  </si>
  <si>
    <t>Investeringsutgift per djurplats utan stöd</t>
  </si>
  <si>
    <t>Flytgödsel, svin, 8% ts</t>
  </si>
  <si>
    <t>---</t>
  </si>
  <si>
    <t>Summa kostnader</t>
  </si>
  <si>
    <t>Ekonomisk livslängd</t>
  </si>
  <si>
    <t>år</t>
  </si>
  <si>
    <t>kr/år</t>
  </si>
  <si>
    <t>SUMMA med investeringsstöd (exkl. utrymme för visning)</t>
  </si>
  <si>
    <t>Investeringsutgift per djurplats med stöd</t>
  </si>
  <si>
    <t>Avkastningskrav på investering, nominell kalkylränta</t>
  </si>
  <si>
    <t>Inflation</t>
  </si>
  <si>
    <t>per år</t>
  </si>
  <si>
    <t>Real kalkylränta</t>
  </si>
  <si>
    <t>Byggledning &amp; ränta</t>
  </si>
  <si>
    <t>Delsumma byggledning &amp; ränta</t>
  </si>
  <si>
    <t>Ränta under byggtid</t>
  </si>
  <si>
    <t>Uppföljning av produktion, ekonomi &amp; drift</t>
  </si>
  <si>
    <t>Totalt för stallet</t>
  </si>
  <si>
    <t>Summa intäkter</t>
  </si>
  <si>
    <t>TB 1</t>
  </si>
  <si>
    <t>TB 2</t>
  </si>
  <si>
    <t>TB 3</t>
  </si>
  <si>
    <t>Investeringskalkyl</t>
  </si>
  <si>
    <t>Värde</t>
  </si>
  <si>
    <t>Yta stall</t>
  </si>
  <si>
    <t>Yta serviceutrymmen &amp; övriga utrymmen (exklusive utrymmen för visning)</t>
  </si>
  <si>
    <t>Yta utrymmen för visning</t>
  </si>
  <si>
    <t>INVESTERINGSUTGIFT</t>
  </si>
  <si>
    <t>GRUNDDATA</t>
  </si>
  <si>
    <t>SÄRINTÄKTER</t>
  </si>
  <si>
    <t>SÄRKOSTNADER</t>
  </si>
  <si>
    <t>Driftsledning</t>
  </si>
  <si>
    <t>Driftkalkyl - Slaktgrisar</t>
  </si>
  <si>
    <t>Kvant per slaktgris</t>
  </si>
  <si>
    <t>Kronor per slaktgris</t>
  </si>
  <si>
    <t>Antal omgångar per år</t>
  </si>
  <si>
    <t>Kött</t>
  </si>
  <si>
    <t>Totalt för stallet per år</t>
  </si>
  <si>
    <t>Förmedlingsavgift, frakt, tillägg</t>
  </si>
  <si>
    <t>Branschgemensamma kostnader</t>
  </si>
  <si>
    <t>Dödlighet och kassaktioner vid slakt</t>
  </si>
  <si>
    <t>Veterinär &amp; medicin</t>
  </si>
  <si>
    <t>Ränta rörelsekapital</t>
  </si>
  <si>
    <t>Nettonuvärde vid 5 % avkastning</t>
  </si>
  <si>
    <t>Täckningsbidrag per slaktgris</t>
  </si>
  <si>
    <t>Investeringsutgift (efter investeringsstöd enligt schablon)</t>
  </si>
  <si>
    <t>Driftnetto per år enligt driftkalkyl</t>
  </si>
  <si>
    <t>Driftnetto per år exklusive avskrivningar och ränta</t>
  </si>
  <si>
    <t>Resultat för stallet</t>
  </si>
  <si>
    <t>Vinstmarginal i stallkalkylen</t>
  </si>
  <si>
    <t>Byggnader, underhåll</t>
  </si>
  <si>
    <t>Löner</t>
  </si>
  <si>
    <t>Diverse</t>
  </si>
  <si>
    <t>&lt;- Välj djurslag i rullistan</t>
  </si>
  <si>
    <t>osv.</t>
  </si>
  <si>
    <t>Nuvärdet av driftsnetto (exklusive avskrivningar och ränta)</t>
  </si>
  <si>
    <t>SUMMA Investeringsutgift (exklusive utrymmen för visning)</t>
  </si>
  <si>
    <t>TOTAL INVESTERINGSUTGIFT (inklusive utrymmen för visning, utan stöd)</t>
  </si>
  <si>
    <t>Mattias Espert</t>
  </si>
  <si>
    <t>Christine Andersson</t>
  </si>
  <si>
    <t>LRF Konsult</t>
  </si>
  <si>
    <t>Smågris Syd AB</t>
  </si>
  <si>
    <t>Jonas Tuneståhl</t>
  </si>
  <si>
    <t>KLS Ugglarps</t>
  </si>
  <si>
    <t>Stall för smågrisproduktion</t>
  </si>
  <si>
    <t>Martin Rindom</t>
  </si>
  <si>
    <t>Gråkjaer</t>
  </si>
  <si>
    <t>Jörgen Lindadhl</t>
  </si>
  <si>
    <t>Distriktsveterinärerna, SJV</t>
  </si>
  <si>
    <t>Antal insatta grisar</t>
  </si>
  <si>
    <t>Dödlighet</t>
  </si>
  <si>
    <t>Genomsnittlig vikt</t>
  </si>
  <si>
    <t>Antal döda kg, per slaktsvin</t>
  </si>
  <si>
    <t>Smågris, 30 kg</t>
  </si>
  <si>
    <t>1  procent dödlighet</t>
  </si>
  <si>
    <t>Genomsnittlig uppfödningtid 13 v, rengöringstid 1 v</t>
  </si>
  <si>
    <t>combi 8600</t>
  </si>
  <si>
    <t>färdigfoder</t>
  </si>
  <si>
    <t>kr/kg</t>
  </si>
  <si>
    <t>Färdigfoder</t>
  </si>
  <si>
    <t>Egenproducerat foder</t>
  </si>
  <si>
    <t>insättning</t>
  </si>
  <si>
    <t>slaktad</t>
  </si>
  <si>
    <t>lev vikt</t>
  </si>
  <si>
    <t>tillväxt</t>
  </si>
  <si>
    <t>medelfoderdagar</t>
  </si>
  <si>
    <t>dagar</t>
  </si>
  <si>
    <t>Inventarier och foder</t>
  </si>
  <si>
    <t>tillväxt g/dag</t>
  </si>
  <si>
    <t>Reservkraftverk</t>
  </si>
  <si>
    <t>Gödselvårdsanläggning inkl reservkraftverk</t>
  </si>
  <si>
    <t>Uppfödningstid 86 dagar, daglig tillväxt 1100 g/dag</t>
  </si>
  <si>
    <t>Vattenförsörjning</t>
  </si>
  <si>
    <t>kbm</t>
  </si>
  <si>
    <t>Antal omgångar per år 3,47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</si>
</sst>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kr&quot;;[Red]\-#,##0\ &quot;kr&quot;"/>
    <numFmt numFmtId="164" formatCode="#,##0\ &quot;kr&quot;"/>
    <numFmt numFmtId="165" formatCode="#,##0.0000"/>
    <numFmt numFmtId="166" formatCode="yy/mm/dd"/>
    <numFmt numFmtId="167" formatCode="#,##0.0"/>
    <numFmt numFmtId="168" formatCode="0.0%"/>
    <numFmt numFmtId="169" formatCode="#,##0\ _k_r"/>
    <numFmt numFmtId="170" formatCode="#,##0.00\ _k_r"/>
    <numFmt numFmtId="171" formatCode="#,##0_k_r"/>
    <numFmt numFmtId="172" formatCode="#,##0_ ;[Red]\-#,##0\ "/>
    <numFmt numFmtId="173" formatCode="0.000"/>
    <numFmt numFmtId="174" formatCode="0.0"/>
  </numFmts>
  <fonts count="26" x14ac:knownFonts="1">
    <font>
      <sz val="11"/>
      <color theme="1"/>
      <name val="Calibri"/>
      <family val="2"/>
      <scheme val="minor"/>
    </font>
    <font>
      <sz val="11"/>
      <color theme="1"/>
      <name val="Calibri"/>
      <family val="2"/>
      <scheme val="minor"/>
    </font>
    <font>
      <sz val="11"/>
      <color rgb="FFFF0000"/>
      <name val="Calibri"/>
      <family val="2"/>
      <scheme val="minor"/>
    </font>
    <font>
      <sz val="22"/>
      <color theme="1"/>
      <name val="Cambria"/>
      <family val="1"/>
    </font>
    <font>
      <sz val="11"/>
      <color theme="1"/>
      <name val="Cambria"/>
      <family val="1"/>
    </font>
    <font>
      <sz val="11"/>
      <name val="Cambria"/>
      <family val="1"/>
    </font>
    <font>
      <sz val="11"/>
      <color rgb="FFFF0000"/>
      <name val="Cambria"/>
      <family val="1"/>
    </font>
    <font>
      <b/>
      <i/>
      <sz val="11"/>
      <color theme="1"/>
      <name val="Cambria"/>
      <family val="1"/>
    </font>
    <font>
      <i/>
      <sz val="11"/>
      <color theme="1"/>
      <name val="Cambria"/>
      <family val="1"/>
    </font>
    <font>
      <b/>
      <sz val="12"/>
      <color theme="1"/>
      <name val="Cambria"/>
      <family val="1"/>
    </font>
    <font>
      <b/>
      <sz val="11"/>
      <color theme="1"/>
      <name val="Cambria"/>
      <family val="1"/>
    </font>
    <font>
      <b/>
      <sz val="11"/>
      <name val="Cambria"/>
      <family val="1"/>
    </font>
    <font>
      <sz val="9"/>
      <color indexed="81"/>
      <name val="Tahoma"/>
      <family val="2"/>
    </font>
    <font>
      <sz val="10"/>
      <name val="Verdana"/>
      <family val="2"/>
    </font>
    <font>
      <sz val="14"/>
      <name val="Cambria"/>
      <family val="1"/>
    </font>
    <font>
      <b/>
      <sz val="14"/>
      <color theme="1"/>
      <name val="Times New Roman"/>
      <family val="1"/>
    </font>
    <font>
      <sz val="14"/>
      <color theme="1"/>
      <name val="Times New Roman"/>
      <family val="1"/>
    </font>
    <font>
      <b/>
      <i/>
      <sz val="14"/>
      <color theme="1"/>
      <name val="Times New Roman"/>
      <family val="1"/>
    </font>
    <font>
      <i/>
      <sz val="14"/>
      <color theme="1"/>
      <name val="Times New Roman"/>
      <family val="1"/>
    </font>
    <font>
      <b/>
      <sz val="12"/>
      <name val="Times New Roman"/>
      <family val="1"/>
    </font>
    <font>
      <sz val="12"/>
      <name val="Times New Roman"/>
      <family val="1"/>
    </font>
    <font>
      <b/>
      <i/>
      <sz val="12"/>
      <name val="Times New Roman"/>
      <family val="1"/>
    </font>
    <font>
      <b/>
      <sz val="14"/>
      <name val="Times New Roman"/>
      <family val="1"/>
    </font>
    <font>
      <sz val="14"/>
      <name val="Times New Roman"/>
      <family val="1"/>
    </font>
    <font>
      <b/>
      <i/>
      <sz val="14"/>
      <name val="Times New Roman"/>
      <family val="1"/>
    </font>
    <font>
      <i/>
      <sz val="12"/>
      <name val="Times New Roman"/>
      <family val="1"/>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bgColor indexed="64"/>
      </patternFill>
    </fill>
  </fills>
  <borders count="24">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s>
  <cellStyleXfs count="3">
    <xf numFmtId="0" fontId="0" fillId="0" borderId="0"/>
    <xf numFmtId="9" fontId="1" fillId="0" borderId="0" applyFont="0" applyFill="0" applyBorder="0" applyAlignment="0" applyProtection="0"/>
    <xf numFmtId="0" fontId="13" fillId="0" borderId="0"/>
  </cellStyleXfs>
  <cellXfs count="217">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0" fontId="7" fillId="4" borderId="2" xfId="0" applyFont="1" applyFill="1" applyBorder="1"/>
    <xf numFmtId="0" fontId="7" fillId="4" borderId="3" xfId="0" applyFont="1" applyFill="1" applyBorder="1"/>
    <xf numFmtId="0" fontId="4" fillId="4" borderId="3" xfId="0" applyFont="1" applyFill="1" applyBorder="1"/>
    <xf numFmtId="0" fontId="4" fillId="4" borderId="4" xfId="0" applyFont="1" applyFill="1" applyBorder="1"/>
    <xf numFmtId="0" fontId="4" fillId="0" borderId="0" xfId="0" applyFont="1" applyBorder="1"/>
    <xf numFmtId="0" fontId="4" fillId="0" borderId="0" xfId="0" applyFont="1" applyBorder="1" applyAlignment="1">
      <alignment wrapText="1"/>
    </xf>
    <xf numFmtId="0" fontId="8" fillId="0" borderId="0" xfId="0" applyFont="1" applyBorder="1"/>
    <xf numFmtId="0" fontId="9" fillId="0" borderId="0" xfId="0" applyFont="1"/>
    <xf numFmtId="0" fontId="4" fillId="0" borderId="1" xfId="0" applyFont="1" applyBorder="1"/>
    <xf numFmtId="0" fontId="13" fillId="0" borderId="0" xfId="2" applyAlignment="1">
      <alignment wrapText="1"/>
    </xf>
    <xf numFmtId="0" fontId="13" fillId="0" borderId="0" xfId="2"/>
    <xf numFmtId="0" fontId="13" fillId="0" borderId="0" xfId="2" applyFont="1" applyFill="1" applyBorder="1"/>
    <xf numFmtId="0" fontId="5" fillId="0" borderId="5" xfId="2" applyFont="1" applyFill="1" applyBorder="1" applyAlignment="1">
      <alignment wrapText="1"/>
    </xf>
    <xf numFmtId="171" fontId="5" fillId="0" borderId="0" xfId="2" applyNumberFormat="1" applyFont="1" applyFill="1" applyBorder="1" applyProtection="1">
      <protection locked="0"/>
    </xf>
    <xf numFmtId="0" fontId="5" fillId="0" borderId="0" xfId="2" applyFont="1" applyFill="1" applyBorder="1"/>
    <xf numFmtId="0" fontId="5" fillId="0" borderId="0" xfId="2" applyFont="1" applyFill="1" applyBorder="1" applyAlignment="1">
      <alignment wrapText="1"/>
    </xf>
    <xf numFmtId="0" fontId="7" fillId="4" borderId="7" xfId="0" applyFont="1" applyFill="1" applyBorder="1"/>
    <xf numFmtId="0" fontId="7" fillId="4" borderId="1" xfId="0" applyFont="1" applyFill="1" applyBorder="1"/>
    <xf numFmtId="0" fontId="4" fillId="4" borderId="8" xfId="0" applyFont="1" applyFill="1" applyBorder="1"/>
    <xf numFmtId="6" fontId="5" fillId="3" borderId="6" xfId="0" applyNumberFormat="1" applyFont="1" applyFill="1" applyBorder="1" applyProtection="1"/>
    <xf numFmtId="6" fontId="5" fillId="3" borderId="11" xfId="0" applyNumberFormat="1" applyFont="1" applyFill="1" applyBorder="1" applyProtection="1"/>
    <xf numFmtId="171" fontId="5" fillId="0" borderId="0" xfId="2" applyNumberFormat="1" applyFont="1" applyFill="1" applyBorder="1" applyAlignment="1">
      <alignment wrapText="1"/>
    </xf>
    <xf numFmtId="38" fontId="4" fillId="0" borderId="0" xfId="0" applyNumberFormat="1" applyFont="1"/>
    <xf numFmtId="6" fontId="4" fillId="0" borderId="0" xfId="0" applyNumberFormat="1" applyFont="1"/>
    <xf numFmtId="0" fontId="14" fillId="0" borderId="0" xfId="0" applyFont="1"/>
    <xf numFmtId="0" fontId="4" fillId="0" borderId="5"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0" xfId="0" applyFont="1" applyFill="1" applyBorder="1" applyProtection="1">
      <protection locked="0"/>
    </xf>
    <xf numFmtId="0" fontId="4" fillId="0" borderId="6" xfId="0" applyFont="1" applyBorder="1" applyProtection="1">
      <protection locked="0"/>
    </xf>
    <xf numFmtId="0" fontId="4" fillId="0" borderId="9" xfId="0" applyFont="1" applyBorder="1" applyProtection="1">
      <protection locked="0"/>
    </xf>
    <xf numFmtId="0" fontId="4" fillId="0" borderId="10" xfId="0" applyFont="1" applyBorder="1" applyProtection="1">
      <protection locked="0"/>
    </xf>
    <xf numFmtId="0" fontId="4" fillId="0" borderId="11" xfId="0" applyFont="1" applyBorder="1" applyProtection="1">
      <protection locked="0"/>
    </xf>
    <xf numFmtId="0" fontId="5" fillId="0" borderId="0" xfId="0" applyFont="1" applyBorder="1" applyAlignment="1" applyProtection="1">
      <alignment horizontal="right"/>
    </xf>
    <xf numFmtId="0" fontId="5" fillId="0" borderId="0" xfId="0" applyFont="1" applyBorder="1" applyAlignment="1" applyProtection="1">
      <alignment wrapText="1"/>
    </xf>
    <xf numFmtId="3" fontId="5" fillId="0" borderId="0" xfId="0" applyNumberFormat="1" applyFont="1" applyFill="1" applyBorder="1" applyProtection="1"/>
    <xf numFmtId="0" fontId="5" fillId="0" borderId="9" xfId="0" applyFont="1" applyBorder="1" applyAlignment="1" applyProtection="1">
      <alignment horizontal="left" wrapText="1"/>
    </xf>
    <xf numFmtId="0" fontId="4" fillId="0" borderId="5" xfId="0" applyFont="1" applyBorder="1" applyAlignment="1" applyProtection="1">
      <alignment wrapText="1"/>
    </xf>
    <xf numFmtId="0" fontId="4" fillId="0" borderId="9" xfId="0" applyFont="1" applyBorder="1" applyAlignment="1" applyProtection="1">
      <alignment wrapText="1"/>
    </xf>
    <xf numFmtId="6" fontId="4" fillId="3" borderId="11" xfId="0" applyNumberFormat="1" applyFont="1" applyFill="1" applyBorder="1" applyProtection="1"/>
    <xf numFmtId="0" fontId="5" fillId="0" borderId="5" xfId="0" applyFont="1" applyBorder="1" applyAlignment="1" applyProtection="1">
      <alignment horizontal="left" wrapText="1"/>
    </xf>
    <xf numFmtId="38" fontId="5" fillId="0" borderId="0" xfId="0" applyNumberFormat="1" applyFont="1" applyFill="1" applyBorder="1" applyProtection="1"/>
    <xf numFmtId="2" fontId="4" fillId="0" borderId="0" xfId="0" applyNumberFormat="1" applyFont="1" applyFill="1" applyBorder="1" applyProtection="1">
      <protection locked="0"/>
    </xf>
    <xf numFmtId="0" fontId="11" fillId="4" borderId="2" xfId="0" applyFont="1" applyFill="1" applyBorder="1" applyAlignment="1" applyProtection="1">
      <alignment horizontal="left" wrapText="1"/>
    </xf>
    <xf numFmtId="164" fontId="11" fillId="4" borderId="4" xfId="0" applyNumberFormat="1" applyFont="1" applyFill="1" applyBorder="1" applyAlignment="1" applyProtection="1">
      <alignment horizontal="left"/>
    </xf>
    <xf numFmtId="3" fontId="4" fillId="0" borderId="0" xfId="0" applyNumberFormat="1" applyFont="1" applyBorder="1" applyProtection="1"/>
    <xf numFmtId="3" fontId="5" fillId="0" borderId="0" xfId="0" applyNumberFormat="1" applyFont="1" applyBorder="1" applyAlignment="1" applyProtection="1">
      <alignment horizontal="right"/>
    </xf>
    <xf numFmtId="0" fontId="5" fillId="0" borderId="0" xfId="0" applyFont="1" applyBorder="1" applyProtection="1"/>
    <xf numFmtId="0" fontId="4" fillId="0" borderId="0" xfId="0" applyFont="1" applyProtection="1"/>
    <xf numFmtId="3" fontId="5" fillId="0" borderId="0" xfId="0" applyNumberFormat="1" applyFont="1" applyBorder="1" applyProtection="1"/>
    <xf numFmtId="0" fontId="5" fillId="0" borderId="0" xfId="0" applyFont="1" applyProtection="1"/>
    <xf numFmtId="165" fontId="5" fillId="0" borderId="0" xfId="0" applyNumberFormat="1" applyFont="1" applyFill="1" applyBorder="1" applyProtection="1"/>
    <xf numFmtId="165" fontId="5" fillId="0" borderId="0" xfId="0" applyNumberFormat="1" applyFont="1" applyBorder="1" applyProtection="1"/>
    <xf numFmtId="0" fontId="5" fillId="0" borderId="1" xfId="0" applyFont="1" applyBorder="1" applyAlignment="1" applyProtection="1">
      <alignment wrapText="1"/>
    </xf>
    <xf numFmtId="0" fontId="5" fillId="0" borderId="1" xfId="0" applyFont="1" applyBorder="1" applyAlignment="1" applyProtection="1">
      <alignment horizontal="right"/>
    </xf>
    <xf numFmtId="3" fontId="5" fillId="0" borderId="1" xfId="0" applyNumberFormat="1" applyFont="1" applyBorder="1" applyAlignment="1" applyProtection="1">
      <alignment horizontal="center"/>
    </xf>
    <xf numFmtId="0" fontId="3" fillId="0" borderId="0" xfId="0" applyFont="1" applyProtection="1"/>
    <xf numFmtId="0" fontId="10" fillId="4" borderId="2" xfId="0" applyFont="1" applyFill="1" applyBorder="1" applyAlignment="1" applyProtection="1">
      <alignment wrapText="1"/>
    </xf>
    <xf numFmtId="0" fontId="4" fillId="4" borderId="3" xfId="0" applyFont="1" applyFill="1" applyBorder="1" applyProtection="1"/>
    <xf numFmtId="0" fontId="4" fillId="4" borderId="4" xfId="0" applyFont="1" applyFill="1" applyBorder="1" applyProtection="1"/>
    <xf numFmtId="0" fontId="4" fillId="3" borderId="0" xfId="0" applyFont="1" applyFill="1" applyBorder="1" applyProtection="1"/>
    <xf numFmtId="0" fontId="4" fillId="0" borderId="6" xfId="0" applyFont="1" applyBorder="1" applyProtection="1"/>
    <xf numFmtId="0" fontId="4" fillId="0" borderId="0" xfId="0" applyFont="1" applyBorder="1" applyProtection="1"/>
    <xf numFmtId="0" fontId="4" fillId="0" borderId="0" xfId="0" applyFont="1" applyBorder="1" applyAlignment="1" applyProtection="1">
      <alignment wrapText="1"/>
    </xf>
    <xf numFmtId="0" fontId="4" fillId="0" borderId="11" xfId="0" applyFont="1" applyBorder="1" applyProtection="1"/>
    <xf numFmtId="0" fontId="4" fillId="0" borderId="3" xfId="0" applyFont="1" applyBorder="1" applyAlignment="1" applyProtection="1">
      <alignment wrapText="1"/>
    </xf>
    <xf numFmtId="0" fontId="4" fillId="0" borderId="3" xfId="0" applyFont="1" applyFill="1" applyBorder="1" applyProtection="1"/>
    <xf numFmtId="0" fontId="4" fillId="0" borderId="3" xfId="0" applyFont="1" applyBorder="1" applyProtection="1"/>
    <xf numFmtId="166" fontId="5" fillId="0" borderId="0" xfId="0" applyNumberFormat="1" applyFont="1" applyFill="1" applyBorder="1" applyProtection="1"/>
    <xf numFmtId="0" fontId="5" fillId="0" borderId="0" xfId="0" applyFont="1" applyAlignment="1" applyProtection="1">
      <alignment wrapText="1"/>
    </xf>
    <xf numFmtId="2" fontId="5" fillId="0" borderId="0" xfId="0" applyNumberFormat="1" applyFont="1" applyBorder="1" applyProtection="1"/>
    <xf numFmtId="169" fontId="5" fillId="0" borderId="0" xfId="0" applyNumberFormat="1" applyFont="1" applyBorder="1" applyProtection="1"/>
    <xf numFmtId="2" fontId="5" fillId="0" borderId="0" xfId="0" applyNumberFormat="1" applyFont="1" applyFill="1" applyBorder="1" applyProtection="1"/>
    <xf numFmtId="2" fontId="5" fillId="0" borderId="0" xfId="0" applyNumberFormat="1" applyFont="1" applyFill="1" applyBorder="1" applyAlignment="1" applyProtection="1">
      <alignment horizontal="right"/>
    </xf>
    <xf numFmtId="164" fontId="4" fillId="0" borderId="0" xfId="0" applyNumberFormat="1" applyFont="1" applyProtection="1"/>
    <xf numFmtId="168" fontId="4" fillId="3" borderId="6" xfId="0" applyNumberFormat="1" applyFont="1" applyFill="1" applyBorder="1" applyProtection="1"/>
    <xf numFmtId="168" fontId="0" fillId="0" borderId="0" xfId="0" applyNumberFormat="1"/>
    <xf numFmtId="173" fontId="0" fillId="0" borderId="0" xfId="0" applyNumberFormat="1"/>
    <xf numFmtId="2" fontId="0" fillId="0" borderId="0" xfId="0" applyNumberFormat="1"/>
    <xf numFmtId="174" fontId="0" fillId="0" borderId="0" xfId="0" applyNumberFormat="1"/>
    <xf numFmtId="2" fontId="4" fillId="0" borderId="0" xfId="0" applyNumberFormat="1" applyFont="1" applyProtection="1"/>
    <xf numFmtId="1" fontId="4" fillId="0" borderId="0" xfId="0" applyNumberFormat="1" applyFont="1" applyProtection="1"/>
    <xf numFmtId="0" fontId="15" fillId="4" borderId="23" xfId="0" applyFont="1" applyFill="1" applyBorder="1"/>
    <xf numFmtId="0" fontId="16" fillId="4" borderId="21" xfId="0" applyFont="1" applyFill="1" applyBorder="1"/>
    <xf numFmtId="0" fontId="16" fillId="4" borderId="22" xfId="0" applyFont="1" applyFill="1" applyBorder="1"/>
    <xf numFmtId="0" fontId="15" fillId="4" borderId="5" xfId="0" applyFont="1" applyFill="1" applyBorder="1"/>
    <xf numFmtId="0" fontId="17" fillId="4" borderId="0" xfId="0" applyFont="1" applyFill="1" applyBorder="1" applyAlignment="1">
      <alignment horizontal="center"/>
    </xf>
    <xf numFmtId="0" fontId="15" fillId="4" borderId="0" xfId="0" applyFont="1" applyFill="1" applyBorder="1"/>
    <xf numFmtId="0" fontId="15" fillId="4" borderId="6" xfId="0" applyFont="1" applyFill="1" applyBorder="1"/>
    <xf numFmtId="0" fontId="17" fillId="0" borderId="5" xfId="0" applyFont="1" applyBorder="1"/>
    <xf numFmtId="0" fontId="18" fillId="0" borderId="0" xfId="0" applyFont="1" applyBorder="1" applyAlignment="1" applyProtection="1">
      <alignment horizontal="center"/>
      <protection locked="0"/>
    </xf>
    <xf numFmtId="0" fontId="16" fillId="0" borderId="0" xfId="0" applyFont="1" applyBorder="1" applyProtection="1">
      <protection locked="0"/>
    </xf>
    <xf numFmtId="164" fontId="16" fillId="0" borderId="0" xfId="0" applyNumberFormat="1" applyFont="1" applyBorder="1" applyProtection="1">
      <protection locked="0"/>
    </xf>
    <xf numFmtId="164" fontId="16" fillId="0" borderId="6" xfId="0" applyNumberFormat="1" applyFont="1" applyFill="1" applyBorder="1"/>
    <xf numFmtId="0" fontId="16" fillId="0" borderId="5" xfId="0" applyFont="1" applyBorder="1"/>
    <xf numFmtId="164" fontId="16" fillId="3" borderId="6" xfId="0" applyNumberFormat="1" applyFont="1" applyFill="1" applyBorder="1" applyProtection="1"/>
    <xf numFmtId="0" fontId="18" fillId="0" borderId="18" xfId="0" applyFont="1" applyBorder="1"/>
    <xf numFmtId="0" fontId="18" fillId="0" borderId="19" xfId="0" applyFont="1" applyBorder="1" applyAlignment="1" applyProtection="1">
      <alignment horizontal="center"/>
      <protection locked="0"/>
    </xf>
    <xf numFmtId="0" fontId="18" fillId="0" borderId="19" xfId="0" applyFont="1" applyBorder="1" applyProtection="1">
      <protection locked="0"/>
    </xf>
    <xf numFmtId="164" fontId="18" fillId="0" borderId="19" xfId="0" applyNumberFormat="1" applyFont="1" applyBorder="1" applyProtection="1">
      <protection locked="0"/>
    </xf>
    <xf numFmtId="164" fontId="18" fillId="3" borderId="20" xfId="0" applyNumberFormat="1" applyFont="1" applyFill="1" applyBorder="1" applyProtection="1"/>
    <xf numFmtId="0" fontId="17" fillId="0" borderId="12" xfId="0" applyFont="1" applyBorder="1"/>
    <xf numFmtId="0" fontId="18" fillId="0" borderId="13" xfId="0" applyFont="1" applyBorder="1" applyAlignment="1" applyProtection="1">
      <alignment horizontal="center"/>
      <protection locked="0"/>
    </xf>
    <xf numFmtId="0" fontId="16" fillId="0" borderId="13" xfId="0" applyFont="1" applyBorder="1" applyProtection="1">
      <protection locked="0"/>
    </xf>
    <xf numFmtId="164" fontId="16" fillId="0" borderId="13" xfId="0" applyNumberFormat="1" applyFont="1" applyBorder="1" applyProtection="1">
      <protection locked="0"/>
    </xf>
    <xf numFmtId="164" fontId="16" fillId="0" borderId="14" xfId="0" applyNumberFormat="1" applyFont="1" applyFill="1" applyBorder="1"/>
    <xf numFmtId="9" fontId="16" fillId="2" borderId="0" xfId="0" applyNumberFormat="1" applyFont="1" applyFill="1" applyBorder="1" applyProtection="1"/>
    <xf numFmtId="0" fontId="18" fillId="0" borderId="19" xfId="0" applyFont="1" applyBorder="1" applyAlignment="1">
      <alignment horizontal="center"/>
    </xf>
    <xf numFmtId="0" fontId="18" fillId="0" borderId="19" xfId="0" applyFont="1" applyBorder="1"/>
    <xf numFmtId="164" fontId="18" fillId="0" borderId="19" xfId="0" applyNumberFormat="1" applyFont="1" applyBorder="1"/>
    <xf numFmtId="0" fontId="15" fillId="0" borderId="12" xfId="0" applyFont="1" applyBorder="1"/>
    <xf numFmtId="0" fontId="18" fillId="0" borderId="13" xfId="0" applyFont="1" applyBorder="1" applyAlignment="1">
      <alignment horizontal="center"/>
    </xf>
    <xf numFmtId="0" fontId="15" fillId="0" borderId="13" xfId="0" applyFont="1" applyBorder="1"/>
    <xf numFmtId="164" fontId="15" fillId="0" borderId="13" xfId="0" applyNumberFormat="1" applyFont="1" applyBorder="1"/>
    <xf numFmtId="164" fontId="15" fillId="3" borderId="14" xfId="0" applyNumberFormat="1" applyFont="1" applyFill="1" applyBorder="1" applyProtection="1"/>
    <xf numFmtId="0" fontId="15" fillId="0" borderId="7" xfId="0" applyFont="1" applyBorder="1"/>
    <xf numFmtId="0" fontId="18" fillId="0" borderId="1" xfId="0" applyFont="1" applyBorder="1" applyAlignment="1">
      <alignment horizontal="center"/>
    </xf>
    <xf numFmtId="0" fontId="15" fillId="0" borderId="1" xfId="0" applyFont="1" applyBorder="1"/>
    <xf numFmtId="164" fontId="15" fillId="0" borderId="1" xfId="0" applyNumberFormat="1" applyFont="1" applyBorder="1"/>
    <xf numFmtId="164" fontId="15" fillId="3" borderId="8" xfId="0" applyNumberFormat="1" applyFont="1" applyFill="1" applyBorder="1" applyProtection="1"/>
    <xf numFmtId="0" fontId="15" fillId="0" borderId="18" xfId="0" applyFont="1" applyBorder="1"/>
    <xf numFmtId="0" fontId="15" fillId="0" borderId="19" xfId="0" applyFont="1" applyBorder="1"/>
    <xf numFmtId="164" fontId="15" fillId="0" borderId="19" xfId="0" applyNumberFormat="1" applyFont="1" applyBorder="1"/>
    <xf numFmtId="164" fontId="15" fillId="3" borderId="20" xfId="0" applyNumberFormat="1" applyFont="1" applyFill="1" applyBorder="1" applyProtection="1"/>
    <xf numFmtId="0" fontId="15" fillId="0" borderId="5" xfId="0" applyFont="1" applyBorder="1"/>
    <xf numFmtId="0" fontId="18" fillId="0" borderId="0" xfId="0" applyFont="1" applyBorder="1" applyAlignment="1">
      <alignment horizontal="center"/>
    </xf>
    <xf numFmtId="0" fontId="15" fillId="0" borderId="0" xfId="0" applyFont="1" applyBorder="1"/>
    <xf numFmtId="164" fontId="15" fillId="0" borderId="0" xfId="0" applyNumberFormat="1" applyFont="1" applyBorder="1"/>
    <xf numFmtId="164" fontId="15" fillId="3" borderId="6" xfId="0" applyNumberFormat="1" applyFont="1" applyFill="1" applyBorder="1" applyProtection="1"/>
    <xf numFmtId="0" fontId="16" fillId="5" borderId="12" xfId="0" applyFont="1" applyFill="1" applyBorder="1"/>
    <xf numFmtId="0" fontId="18" fillId="5" borderId="13" xfId="0" applyFont="1" applyFill="1" applyBorder="1" applyAlignment="1" applyProtection="1">
      <alignment horizontal="center"/>
      <protection locked="0"/>
    </xf>
    <xf numFmtId="0" fontId="16" fillId="5" borderId="13" xfId="0" applyFont="1" applyFill="1" applyBorder="1" applyProtection="1">
      <protection locked="0"/>
    </xf>
    <xf numFmtId="164" fontId="16" fillId="5" borderId="13" xfId="0" applyNumberFormat="1" applyFont="1" applyFill="1" applyBorder="1" applyProtection="1">
      <protection locked="0"/>
    </xf>
    <xf numFmtId="164" fontId="16" fillId="5" borderId="20" xfId="0" applyNumberFormat="1" applyFont="1" applyFill="1" applyBorder="1" applyProtection="1">
      <protection locked="0"/>
    </xf>
    <xf numFmtId="0" fontId="16" fillId="0" borderId="15" xfId="0" applyFont="1" applyBorder="1"/>
    <xf numFmtId="0" fontId="18" fillId="0" borderId="16" xfId="0" applyFont="1" applyBorder="1" applyAlignment="1">
      <alignment horizontal="center"/>
    </xf>
    <xf numFmtId="0" fontId="16" fillId="0" borderId="16" xfId="0" applyFont="1" applyBorder="1"/>
    <xf numFmtId="164" fontId="16" fillId="3" borderId="17" xfId="0" applyNumberFormat="1" applyFont="1" applyFill="1" applyBorder="1" applyProtection="1"/>
    <xf numFmtId="0" fontId="22" fillId="4" borderId="23" xfId="2" applyFont="1" applyFill="1" applyBorder="1" applyAlignment="1">
      <alignment wrapText="1"/>
    </xf>
    <xf numFmtId="0" fontId="22" fillId="4" borderId="21" xfId="2" applyFont="1" applyFill="1" applyBorder="1" applyAlignment="1">
      <alignment horizontal="left" wrapText="1"/>
    </xf>
    <xf numFmtId="0" fontId="22" fillId="4" borderId="22" xfId="2" applyFont="1" applyFill="1" applyBorder="1" applyAlignment="1">
      <alignment wrapText="1"/>
    </xf>
    <xf numFmtId="0" fontId="23" fillId="0" borderId="5" xfId="2" applyFont="1" applyFill="1" applyBorder="1" applyAlignment="1">
      <alignment wrapText="1"/>
    </xf>
    <xf numFmtId="0" fontId="16" fillId="0" borderId="0" xfId="0" applyFont="1" applyBorder="1" applyAlignment="1" applyProtection="1">
      <alignment horizontal="right" wrapText="1"/>
      <protection locked="0"/>
    </xf>
    <xf numFmtId="0" fontId="23" fillId="0" borderId="6" xfId="0" applyFont="1" applyBorder="1" applyAlignment="1" applyProtection="1">
      <alignment horizontal="left"/>
      <protection locked="0"/>
    </xf>
    <xf numFmtId="0" fontId="16" fillId="0" borderId="0" xfId="0" applyFont="1" applyFill="1" applyBorder="1" applyAlignment="1" applyProtection="1">
      <alignment horizontal="right"/>
      <protection locked="0"/>
    </xf>
    <xf numFmtId="0" fontId="16" fillId="0" borderId="6" xfId="0" applyFont="1" applyBorder="1"/>
    <xf numFmtId="0" fontId="16" fillId="0" borderId="5" xfId="0" applyFont="1" applyBorder="1" applyAlignment="1">
      <alignment wrapText="1"/>
    </xf>
    <xf numFmtId="0" fontId="16" fillId="0" borderId="7" xfId="0" applyFont="1" applyBorder="1" applyAlignment="1">
      <alignment wrapText="1"/>
    </xf>
    <xf numFmtId="0" fontId="16" fillId="0" borderId="1" xfId="0" applyFont="1" applyFill="1" applyBorder="1" applyAlignment="1" applyProtection="1">
      <alignment horizontal="right"/>
      <protection locked="0"/>
    </xf>
    <xf numFmtId="0" fontId="16" fillId="0" borderId="8" xfId="0" applyFont="1" applyBorder="1"/>
    <xf numFmtId="3" fontId="18" fillId="3" borderId="16" xfId="0" applyNumberFormat="1" applyFont="1" applyFill="1" applyBorder="1" applyProtection="1"/>
    <xf numFmtId="0" fontId="18" fillId="0" borderId="20" xfId="0" applyFont="1" applyBorder="1"/>
    <xf numFmtId="172" fontId="24" fillId="3" borderId="13" xfId="2" applyNumberFormat="1" applyFont="1" applyFill="1" applyBorder="1" applyAlignment="1" applyProtection="1">
      <alignment horizontal="right"/>
    </xf>
    <xf numFmtId="0" fontId="23" fillId="0" borderId="6" xfId="2" applyFont="1" applyFill="1" applyBorder="1"/>
    <xf numFmtId="172" fontId="24" fillId="3" borderId="0" xfId="2" applyNumberFormat="1" applyFont="1" applyFill="1" applyBorder="1" applyAlignment="1" applyProtection="1">
      <alignment horizontal="right"/>
    </xf>
    <xf numFmtId="10" fontId="23" fillId="2" borderId="0" xfId="2" applyNumberFormat="1" applyFont="1" applyFill="1" applyBorder="1" applyAlignment="1" applyProtection="1">
      <alignment horizontal="right"/>
    </xf>
    <xf numFmtId="168" fontId="23" fillId="3" borderId="0" xfId="2" applyNumberFormat="1" applyFont="1" applyFill="1" applyBorder="1" applyAlignment="1" applyProtection="1">
      <alignment horizontal="right"/>
    </xf>
    <xf numFmtId="0" fontId="23" fillId="0" borderId="0" xfId="2" applyFont="1" applyFill="1" applyBorder="1" applyAlignment="1" applyProtection="1">
      <alignment horizontal="right"/>
      <protection locked="0"/>
    </xf>
    <xf numFmtId="172" fontId="24" fillId="3" borderId="1" xfId="2" applyNumberFormat="1" applyFont="1" applyFill="1" applyBorder="1" applyAlignment="1" applyProtection="1">
      <alignment horizontal="right"/>
    </xf>
    <xf numFmtId="0" fontId="24" fillId="0" borderId="15" xfId="2" applyFont="1" applyFill="1" applyBorder="1" applyAlignment="1">
      <alignment wrapText="1"/>
    </xf>
    <xf numFmtId="172" fontId="24" fillId="3" borderId="10" xfId="2" applyNumberFormat="1" applyFont="1" applyFill="1" applyBorder="1" applyAlignment="1" applyProtection="1">
      <alignment horizontal="right"/>
    </xf>
    <xf numFmtId="0" fontId="24" fillId="0" borderId="17" xfId="2" applyFont="1" applyFill="1" applyBorder="1"/>
    <xf numFmtId="0" fontId="19" fillId="4" borderId="19" xfId="0" applyFont="1" applyFill="1" applyBorder="1" applyAlignment="1" applyProtection="1">
      <alignment horizontal="left" wrapText="1"/>
    </xf>
    <xf numFmtId="0" fontId="21" fillId="4" borderId="19" xfId="0" applyFont="1" applyFill="1" applyBorder="1" applyAlignment="1" applyProtection="1">
      <alignment horizontal="center" wrapText="1"/>
    </xf>
    <xf numFmtId="3" fontId="19" fillId="4" borderId="1" xfId="0" applyNumberFormat="1" applyFont="1" applyFill="1" applyBorder="1" applyAlignment="1" applyProtection="1">
      <alignment horizontal="center" wrapText="1"/>
    </xf>
    <xf numFmtId="0" fontId="19" fillId="4" borderId="19" xfId="0" applyFont="1" applyFill="1" applyBorder="1" applyAlignment="1" applyProtection="1">
      <alignment horizontal="center" wrapText="1"/>
    </xf>
    <xf numFmtId="0" fontId="20" fillId="0" borderId="0" xfId="0" applyFont="1" applyBorder="1" applyAlignment="1" applyProtection="1">
      <alignment wrapText="1"/>
    </xf>
    <xf numFmtId="0" fontId="25" fillId="0" borderId="0" xfId="0" applyFont="1" applyBorder="1" applyAlignment="1" applyProtection="1">
      <alignment horizontal="center"/>
      <protection locked="0"/>
    </xf>
    <xf numFmtId="167" fontId="20" fillId="0" borderId="0" xfId="0" applyNumberFormat="1" applyFont="1" applyFill="1" applyBorder="1" applyProtection="1">
      <protection locked="0"/>
    </xf>
    <xf numFmtId="0" fontId="20" fillId="0" borderId="0" xfId="0" applyFont="1" applyBorder="1" applyAlignment="1" applyProtection="1">
      <alignment horizontal="right"/>
      <protection locked="0"/>
    </xf>
    <xf numFmtId="170" fontId="20" fillId="0" borderId="0" xfId="0" applyNumberFormat="1" applyFont="1" applyFill="1" applyBorder="1" applyProtection="1">
      <protection locked="0"/>
    </xf>
    <xf numFmtId="169" fontId="20" fillId="3" borderId="0" xfId="0" applyNumberFormat="1" applyFont="1" applyFill="1" applyBorder="1" applyProtection="1"/>
    <xf numFmtId="0" fontId="20" fillId="0" borderId="0" xfId="0" applyFont="1" applyFill="1" applyBorder="1" applyAlignment="1" applyProtection="1">
      <alignment horizontal="right"/>
      <protection locked="0"/>
    </xf>
    <xf numFmtId="0" fontId="20" fillId="0" borderId="0" xfId="0" applyFont="1" applyBorder="1" applyAlignment="1" applyProtection="1">
      <alignment wrapText="1"/>
      <protection locked="0"/>
    </xf>
    <xf numFmtId="0" fontId="21" fillId="0" borderId="19" xfId="0" applyFont="1" applyBorder="1" applyAlignment="1" applyProtection="1">
      <alignment horizontal="left" wrapText="1"/>
    </xf>
    <xf numFmtId="0" fontId="25" fillId="0" borderId="19" xfId="0" applyFont="1" applyBorder="1" applyAlignment="1" applyProtection="1">
      <alignment horizontal="center"/>
    </xf>
    <xf numFmtId="0" fontId="25" fillId="0" borderId="19" xfId="0" applyFont="1" applyBorder="1" applyProtection="1"/>
    <xf numFmtId="0" fontId="25" fillId="0" borderId="19" xfId="0" applyFont="1" applyBorder="1" applyAlignment="1" applyProtection="1">
      <alignment horizontal="right"/>
    </xf>
    <xf numFmtId="2" fontId="25" fillId="0" borderId="19" xfId="0" applyNumberFormat="1" applyFont="1" applyBorder="1" applyProtection="1"/>
    <xf numFmtId="6" fontId="21" fillId="3" borderId="19" xfId="0" applyNumberFormat="1" applyFont="1" applyFill="1" applyBorder="1" applyProtection="1"/>
    <xf numFmtId="0" fontId="21" fillId="0" borderId="0" xfId="0" applyFont="1" applyBorder="1" applyAlignment="1" applyProtection="1">
      <alignment horizontal="left" wrapText="1"/>
    </xf>
    <xf numFmtId="0" fontId="25" fillId="0" borderId="0" xfId="0" applyFont="1" applyBorder="1" applyAlignment="1" applyProtection="1">
      <alignment horizontal="center"/>
    </xf>
    <xf numFmtId="3" fontId="20" fillId="0" borderId="1" xfId="0" applyNumberFormat="1" applyFont="1" applyBorder="1" applyProtection="1"/>
    <xf numFmtId="0" fontId="20" fillId="0" borderId="1" xfId="0" applyFont="1" applyBorder="1" applyAlignment="1" applyProtection="1">
      <alignment horizontal="right"/>
    </xf>
    <xf numFmtId="2" fontId="20" fillId="0" borderId="1" xfId="0" applyNumberFormat="1" applyFont="1" applyBorder="1" applyProtection="1"/>
    <xf numFmtId="3" fontId="21" fillId="0" borderId="1" xfId="0" applyNumberFormat="1" applyFont="1" applyBorder="1" applyProtection="1"/>
    <xf numFmtId="0" fontId="20" fillId="0" borderId="0" xfId="0" applyFont="1" applyBorder="1" applyProtection="1"/>
    <xf numFmtId="3" fontId="20" fillId="0" borderId="0" xfId="0" applyNumberFormat="1" applyFont="1" applyFill="1" applyBorder="1" applyProtection="1">
      <protection locked="0"/>
    </xf>
    <xf numFmtId="0" fontId="21" fillId="0" borderId="19" xfId="0" applyFont="1" applyBorder="1" applyAlignment="1" applyProtection="1">
      <alignment wrapText="1"/>
    </xf>
    <xf numFmtId="0" fontId="21" fillId="0" borderId="19" xfId="0" applyFont="1" applyBorder="1" applyAlignment="1" applyProtection="1">
      <alignment horizontal="right"/>
    </xf>
    <xf numFmtId="0" fontId="21" fillId="0" borderId="19" xfId="0" applyFont="1" applyBorder="1" applyProtection="1"/>
    <xf numFmtId="4" fontId="21" fillId="0" borderId="19" xfId="0" applyNumberFormat="1" applyFont="1" applyFill="1" applyBorder="1" applyProtection="1"/>
    <xf numFmtId="164" fontId="21" fillId="3" borderId="19" xfId="0" applyNumberFormat="1" applyFont="1" applyFill="1" applyBorder="1" applyProtection="1"/>
    <xf numFmtId="4" fontId="20" fillId="0" borderId="0" xfId="0" applyNumberFormat="1" applyFont="1" applyFill="1" applyBorder="1" applyProtection="1">
      <protection locked="0"/>
    </xf>
    <xf numFmtId="0" fontId="20" fillId="0" borderId="0" xfId="0" applyFont="1" applyBorder="1" applyAlignment="1" applyProtection="1">
      <alignment horizontal="right"/>
    </xf>
    <xf numFmtId="170" fontId="20" fillId="3" borderId="0" xfId="1" applyNumberFormat="1" applyFont="1" applyFill="1" applyBorder="1" applyProtection="1"/>
    <xf numFmtId="0" fontId="25" fillId="0" borderId="0" xfId="0" quotePrefix="1" applyFont="1" applyBorder="1" applyAlignment="1" applyProtection="1">
      <alignment horizontal="center"/>
    </xf>
    <xf numFmtId="3" fontId="20" fillId="3" borderId="0" xfId="0" applyNumberFormat="1" applyFont="1" applyFill="1" applyBorder="1" applyProtection="1"/>
    <xf numFmtId="168" fontId="20" fillId="2" borderId="0" xfId="1" applyNumberFormat="1" applyFont="1" applyFill="1" applyBorder="1" applyProtection="1"/>
    <xf numFmtId="0" fontId="25" fillId="0" borderId="0" xfId="0" quotePrefix="1" applyFont="1" applyBorder="1" applyAlignment="1" applyProtection="1">
      <alignment horizontal="center"/>
      <protection locked="0"/>
    </xf>
    <xf numFmtId="168" fontId="20" fillId="0" borderId="0" xfId="1" applyNumberFormat="1" applyFont="1" applyFill="1" applyBorder="1" applyProtection="1">
      <protection locked="0"/>
    </xf>
    <xf numFmtId="0" fontId="19" fillId="0" borderId="19" xfId="0" applyFont="1" applyBorder="1" applyAlignment="1" applyProtection="1">
      <alignment wrapText="1"/>
    </xf>
    <xf numFmtId="3" fontId="21" fillId="0" borderId="19" xfId="0" applyNumberFormat="1" applyFont="1" applyFill="1" applyBorder="1" applyProtection="1"/>
    <xf numFmtId="3" fontId="20" fillId="0" borderId="0" xfId="0" applyNumberFormat="1" applyFont="1" applyFill="1" applyBorder="1" applyProtection="1"/>
    <xf numFmtId="0" fontId="20" fillId="0" borderId="0" xfId="0" applyFont="1" applyFill="1" applyBorder="1" applyAlignment="1" applyProtection="1">
      <alignment horizontal="right"/>
    </xf>
    <xf numFmtId="170" fontId="20" fillId="3" borderId="0" xfId="0" applyNumberFormat="1" applyFont="1" applyFill="1" applyBorder="1" applyProtection="1"/>
    <xf numFmtId="170" fontId="20" fillId="0" borderId="0" xfId="1" applyNumberFormat="1" applyFont="1" applyFill="1" applyBorder="1" applyProtection="1">
      <protection locked="0"/>
    </xf>
    <xf numFmtId="170" fontId="20" fillId="0" borderId="0" xfId="0" applyNumberFormat="1" applyFont="1" applyBorder="1" applyProtection="1">
      <protection locked="0"/>
    </xf>
    <xf numFmtId="0" fontId="20" fillId="0" borderId="0" xfId="0" applyFont="1" applyBorder="1" applyAlignment="1" applyProtection="1">
      <alignment horizontal="center"/>
      <protection locked="0"/>
    </xf>
    <xf numFmtId="0" fontId="20" fillId="0" borderId="19" xfId="0" applyFont="1" applyBorder="1" applyAlignment="1" applyProtection="1">
      <alignment wrapText="1"/>
    </xf>
    <xf numFmtId="2" fontId="21" fillId="0" borderId="19" xfId="0" applyNumberFormat="1" applyFont="1" applyBorder="1" applyProtection="1"/>
    <xf numFmtId="0" fontId="11" fillId="4" borderId="2" xfId="0" applyFont="1" applyFill="1" applyBorder="1" applyAlignment="1" applyProtection="1">
      <alignment horizontal="left" wrapText="1"/>
    </xf>
    <xf numFmtId="0" fontId="11" fillId="4" borderId="4" xfId="0" applyFont="1" applyFill="1" applyBorder="1" applyAlignment="1" applyProtection="1">
      <alignment horizontal="left" wrapText="1"/>
    </xf>
  </cellXfs>
  <cellStyles count="3">
    <cellStyle name="Normal" xfId="0" builtinId="0"/>
    <cellStyle name="Normal 2" xfId="2"/>
    <cellStyle name="Procent" xfId="1" builtin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7953374" cy="3228975"/>
    <xdr:sp macro="" textlink="">
      <xdr:nvSpPr>
        <xdr:cNvPr id="2" name="textruta 1"/>
        <xdr:cNvSpPr txBox="1"/>
      </xdr:nvSpPr>
      <xdr:spPr>
        <a:xfrm>
          <a:off x="0" y="533400"/>
          <a:ext cx="7953374" cy="3228975"/>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marL="0" marR="0" indent="0" defTabSz="914400" eaLnBrk="1" fontAlgn="auto" latinLnBrk="0" hangingPunct="1">
            <a:lnSpc>
              <a:spcPct val="100000"/>
            </a:lnSpc>
            <a:spcBef>
              <a:spcPts val="0"/>
            </a:spcBef>
            <a:spcAft>
              <a:spcPts val="0"/>
            </a:spcAft>
            <a:buClrTx/>
            <a:buSzTx/>
            <a:buFontTx/>
            <a:buNone/>
            <a:tabLst/>
            <a:defRPr/>
          </a:pPr>
          <a:endParaRPr lang="sv-SE" sz="9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a:solidFill>
                <a:schemeClr val="tx1"/>
              </a:solidFill>
              <a:effectLst/>
              <a:latin typeface="Cambria" panose="02040503050406030204" pitchFamily="18" charset="0"/>
              <a:ea typeface="+mn-ea"/>
              <a:cs typeface="+mn-cs"/>
            </a:rPr>
            <a:t>I</a:t>
          </a:r>
          <a:r>
            <a:rPr lang="sv-SE" sz="1050" b="0" baseline="0">
              <a:solidFill>
                <a:schemeClr val="tx1"/>
              </a:solidFill>
              <a:effectLst/>
              <a:latin typeface="Cambria" panose="02040503050406030204" pitchFamily="18" charset="0"/>
              <a:ea typeface="+mn-ea"/>
              <a:cs typeface="+mn-cs"/>
            </a:rPr>
            <a:t> </a:t>
          </a:r>
          <a:r>
            <a:rPr lang="sv-SE" sz="1100" b="0" baseline="0">
              <a:solidFill>
                <a:schemeClr val="tx1"/>
              </a:solidFill>
              <a:effectLst/>
              <a:latin typeface="Cambria" panose="02040503050406030204" pitchFamily="18" charset="0"/>
              <a:ea typeface="+mn-ea"/>
              <a:cs typeface="+mn-cs"/>
            </a:rPr>
            <a:t>denna kalkylmall gör du</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mn-lt"/>
              <a:ea typeface="+mn-ea"/>
              <a:cs typeface="+mn-cs"/>
            </a:rPr>
            <a:t>- </a:t>
          </a:r>
          <a:r>
            <a:rPr lang="sv-SE" sz="1100" b="0" baseline="0">
              <a:solidFill>
                <a:schemeClr val="tx1"/>
              </a:solidFill>
              <a:effectLst/>
              <a:latin typeface="Cambria" panose="02040503050406030204" pitchFamily="18" charset="0"/>
              <a:ea typeface="+mn-ea"/>
              <a:cs typeface="+mn-cs"/>
            </a:rPr>
            <a:t>investeringskalkyl</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driftkalkyl för 12 månader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1) Börja med att fylla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2) Fyll därefter i driftkalkylen. Det finns en flik för varje produktionsgren. Välj den som är aktuell. Övriga flikar kan du ta bort.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Avskrivningar och ränta beräknas automatiskt med hjälp av de uppgifter du skrivit in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3) När du fyllt i driftkalkylen för aktuellt djurslag så kommer investeringskalkylen att beräknas Fyll sedan i investeringskalkylen</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Investeringskalkylen bygger på de uppgifter du lagt in i fliken "Investeringsutgift" och fliken "Driftkalkyl" för aktuellt djurslag. </a:t>
          </a:r>
        </a:p>
        <a:p>
          <a:pPr marL="0" marR="0" indent="0" defTabSz="914400" eaLnBrk="1" fontAlgn="auto" latinLnBrk="0" hangingPunct="1">
            <a:lnSpc>
              <a:spcPct val="100000"/>
            </a:lnSpc>
            <a:spcBef>
              <a:spcPts val="0"/>
            </a:spcBef>
            <a:spcAft>
              <a:spcPts val="0"/>
            </a:spcAft>
            <a:buClrTx/>
            <a:buSzTx/>
            <a:buFontTx/>
            <a:buNone/>
            <a:tabLst/>
            <a:defRPr/>
          </a:pPr>
          <a:endParaRPr lang="sv-SE" sz="105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baseline="0">
              <a:solidFill>
                <a:schemeClr val="tx1"/>
              </a:solidFill>
              <a:effectLst/>
              <a:latin typeface="Cambria" panose="02040503050406030204" pitchFamily="18" charset="0"/>
              <a:ea typeface="+mn-ea"/>
              <a:cs typeface="+mn-cs"/>
            </a:rPr>
            <a:t>Kalkylbladen är låsta för att du inte ska råka ändra några formler av misstag. Det går att låsa upp dem under fliken "Granska" och klicka på "Ta bort bladets skydd". Det behövs inget lösenord för att låsa upp kalkylbladen.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323850</xdr:colOff>
      <xdr:row>0</xdr:row>
      <xdr:rowOff>152399</xdr:rowOff>
    </xdr:from>
    <xdr:ext cx="7267575" cy="20678776"/>
    <xdr:sp macro="" textlink="">
      <xdr:nvSpPr>
        <xdr:cNvPr id="2" name="textruta 1"/>
        <xdr:cNvSpPr txBox="1"/>
      </xdr:nvSpPr>
      <xdr:spPr>
        <a:xfrm>
          <a:off x="7496175" y="152399"/>
          <a:ext cx="7267575" cy="20678776"/>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b="0">
            <a:solidFill>
              <a:schemeClr val="tx1"/>
            </a:solidFill>
            <a:effectLst/>
            <a:latin typeface="Cambria" panose="02040503050406030204" pitchFamily="18" charset="0"/>
            <a:ea typeface="+mn-ea"/>
            <a:cs typeface="+mn-cs"/>
          </a:endParaRPr>
        </a:p>
        <a:p>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Ange</a:t>
          </a:r>
          <a:r>
            <a:rPr lang="sv-SE" sz="1100" b="1" baseline="0">
              <a:solidFill>
                <a:schemeClr val="tx1"/>
              </a:solidFill>
              <a:effectLst/>
              <a:latin typeface="Cambria" panose="02040503050406030204" pitchFamily="18" charset="0"/>
              <a:ea typeface="+mn-ea"/>
              <a:cs typeface="+mn-cs"/>
            </a:rPr>
            <a:t> typ av stall</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Rad 2: Beskriv vad det är</a:t>
          </a:r>
          <a:r>
            <a:rPr lang="sv-SE" sz="1100" b="0" baseline="0">
              <a:solidFill>
                <a:schemeClr val="tx1"/>
              </a:solidFill>
              <a:effectLst/>
              <a:latin typeface="Cambria" panose="02040503050406030204" pitchFamily="18" charset="0"/>
              <a:ea typeface="+mn-ea"/>
              <a:cs typeface="+mn-cs"/>
            </a:rPr>
            <a:t> för typ av stall konceptet avser. T.ex. Stall för slaktgrisproduktion </a:t>
          </a:r>
        </a:p>
        <a:p>
          <a:pPr eaLnBrk="1" fontAlgn="auto" latinLnBrk="0" hangingPunct="1"/>
          <a:endParaRPr lang="sv-SE" sz="1100">
            <a:effectLst/>
            <a:latin typeface="Cambria" panose="02040503050406030204" pitchFamily="18" charset="0"/>
          </a:endParaRPr>
        </a:p>
        <a:p>
          <a:pPr eaLnBrk="1" fontAlgn="auto" latinLnBrk="0" hangingPunct="1"/>
          <a:r>
            <a:rPr lang="sv-SE" sz="1100" b="1">
              <a:solidFill>
                <a:schemeClr val="tx1"/>
              </a:solidFill>
              <a:effectLst/>
              <a:latin typeface="Cambria" panose="02040503050406030204" pitchFamily="18" charset="0"/>
              <a:ea typeface="+mn-ea"/>
              <a:cs typeface="+mn-cs"/>
            </a:rPr>
            <a:t>Utvecklingsgrupp</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Skriv in namn</a:t>
          </a:r>
          <a:r>
            <a:rPr lang="sv-SE" sz="1100" b="0" baseline="0">
              <a:solidFill>
                <a:schemeClr val="tx1"/>
              </a:solidFill>
              <a:effectLst/>
              <a:latin typeface="Cambria" panose="02040503050406030204" pitchFamily="18" charset="0"/>
              <a:ea typeface="+mn-ea"/>
              <a:cs typeface="+mn-cs"/>
            </a:rPr>
            <a:t> och organisation på de personer som ingår i utvecklingsgruppen som tagit fram konceptet.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u="sng" baseline="0">
              <a:solidFill>
                <a:schemeClr val="tx1"/>
              </a:solidFill>
              <a:effectLst/>
              <a:latin typeface="Cambria" panose="02040503050406030204" pitchFamily="18" charset="0"/>
              <a:ea typeface="+mn-ea"/>
              <a:cs typeface="+mn-cs"/>
            </a:rPr>
            <a:t>GRUNDDATA </a:t>
          </a:r>
        </a:p>
        <a:p>
          <a:pPr eaLnBrk="1" fontAlgn="auto" latinLnBrk="0" hangingPunct="1"/>
          <a:r>
            <a:rPr lang="sv-SE" sz="1100" b="1" baseline="0">
              <a:solidFill>
                <a:schemeClr val="tx1"/>
              </a:solidFill>
              <a:effectLst/>
              <a:latin typeface="Cambria" panose="02040503050406030204" pitchFamily="18" charset="0"/>
              <a:ea typeface="+mn-ea"/>
              <a:cs typeface="+mn-cs"/>
            </a:rPr>
            <a:t>Antal djurplatser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Ange hur många djurplatser stallet är dimensionerat för.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T.ex.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X mjölkkor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Y suggor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Z slakgrisar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Denna uppgift används för att räkna ut investeringsutgiften per djurplats. Det är därför viktigt att du anger antalet djurplatser med samma enhet som framgår av kraven på maximal investeringsutgift, se "Investeringsutgift per djurplats" nedan. </a:t>
          </a:r>
        </a:p>
        <a:p>
          <a:pPr eaLnBrk="1" fontAlgn="auto" latinLnBrk="0" hangingPunct="1"/>
          <a:r>
            <a:rPr lang="sv-SE" sz="1100" b="0" baseline="0">
              <a:solidFill>
                <a:schemeClr val="tx1"/>
              </a:solidFill>
              <a:effectLst/>
              <a:latin typeface="Cambria" panose="02040503050406030204" pitchFamily="18" charset="0"/>
              <a:ea typeface="+mn-ea"/>
              <a:cs typeface="+mn-cs"/>
            </a:rPr>
            <a:t>Välj djurslag i rullistan.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Yta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Ange</a:t>
          </a:r>
          <a:r>
            <a:rPr lang="sv-SE" sz="1100" b="0" baseline="0">
              <a:solidFill>
                <a:schemeClr val="tx1"/>
              </a:solidFill>
              <a:effectLst/>
              <a:latin typeface="Cambria" panose="02040503050406030204" pitchFamily="18" charset="0"/>
              <a:ea typeface="+mn-ea"/>
              <a:cs typeface="+mn-cs"/>
            </a:rPr>
            <a:t> ytan på stallet, serviceutrymmen respektive utrymmen för visning.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Investeringsutgift </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Beloppet hämtas när du har fyllt i uppgifter om investeringsutgift på denna flik. </a:t>
          </a:r>
        </a:p>
        <a:p>
          <a:pPr marL="0" marR="0" indent="0" defTabSz="914400" eaLnBrk="1" fontAlgn="auto" latinLnBrk="0" hangingPunct="1">
            <a:lnSpc>
              <a:spcPct val="100000"/>
            </a:lnSpc>
            <a:spcBef>
              <a:spcPts val="0"/>
            </a:spcBef>
            <a:spcAft>
              <a:spcPts val="0"/>
            </a:spcAft>
            <a:buClrTx/>
            <a:buSzTx/>
            <a:buFontTx/>
            <a:buNone/>
            <a:tabLst/>
            <a:defRPr/>
          </a:pPr>
          <a:endParaRPr lang="sv-SE" sz="1100" b="0"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Driftnetto</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Hämtas från driftskalkylen när du har fyllt i den på annan flik i kalkylmallen.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Ekonomisk livslängd </a:t>
          </a:r>
        </a:p>
        <a:p>
          <a:pPr marL="0" marR="0" indent="0" defTabSz="914400" eaLnBrk="1" fontAlgn="auto" latinLnBrk="0" hangingPunct="1">
            <a:lnSpc>
              <a:spcPct val="100000"/>
            </a:lnSpc>
            <a:spcBef>
              <a:spcPts val="0"/>
            </a:spcBef>
            <a:spcAft>
              <a:spcPts val="0"/>
            </a:spcAft>
            <a:buClrTx/>
            <a:buSzTx/>
            <a:buFontTx/>
            <a:buNone/>
            <a:tabLst/>
            <a:defRPr/>
          </a:pPr>
          <a:r>
            <a:rPr lang="sv-SE" sz="1100" i="0" baseline="0">
              <a:solidFill>
                <a:schemeClr val="tx1"/>
              </a:solidFill>
              <a:effectLst/>
              <a:latin typeface="Cambria" panose="02040503050406030204" pitchFamily="18" charset="0"/>
              <a:ea typeface="+mn-ea"/>
              <a:cs typeface="+mn-cs"/>
            </a:rPr>
            <a:t>Ange hur lång den ekonomiska livslängden är för investeringen (10-15 år beroende på konstruktion och materialval). Den ekonomiska livslängden får inte vara längre än 15 år i kalkylen. </a:t>
          </a:r>
          <a:endParaRPr lang="sv-SE" sz="1100" i="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r>
            <a:rPr lang="sv-SE" sz="1100" b="1" baseline="0">
              <a:solidFill>
                <a:schemeClr val="tx1"/>
              </a:solidFill>
              <a:effectLst/>
              <a:latin typeface="Cambria" panose="02040503050406030204" pitchFamily="18" charset="0"/>
              <a:ea typeface="+mn-ea"/>
              <a:cs typeface="+mn-cs"/>
            </a:rPr>
            <a:t>Hur beräknas nettonuvärdet?</a:t>
          </a:r>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Beräkningen av investeringens nettonuvärde sker automatiskt när du fyllt i uppgifter om investeringsutgiften samt driftkalkyl för aktuell produktionsgren.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Nettonuvärdet är en samlad bedömning av investeringens lönsamhet under hela den ekonomiska livslängden. Nuvärdet tar hänsyn till pengarnas tidsvärde. (100 kr är värt mer idag än om till exempel två år.) Investeringen ska klara ett avkastningskrav (nominell kalkylränta) på 5 %.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I kalkylen används driftnettot från driftskalkylen från år 1 (exklusive avskrivningar och ränta, eftersom nuvärdekalkylen redan tar hänsyn till avskrivningar och ränta). Driftkalkylen visar det ekonomiska utfallet år 1 med antagandet att investeringen är i full drift redan år 1, ä</a:t>
          </a:r>
          <a:r>
            <a:rPr lang="sv-SE" sz="1100" b="0" baseline="0">
              <a:solidFill>
                <a:schemeClr val="tx1"/>
              </a:solidFill>
              <a:effectLst/>
              <a:latin typeface="Cambria" panose="02040503050406030204" pitchFamily="18" charset="0"/>
              <a:ea typeface="+mn-ea"/>
              <a:cs typeface="+mn-cs"/>
            </a:rPr>
            <a:t>ven om det i praktiken tar längre tid att komma upp i full produktion. </a:t>
          </a:r>
          <a:r>
            <a:rPr lang="sv-SE" sz="1100">
              <a:solidFill>
                <a:schemeClr val="tx1"/>
              </a:solidFill>
              <a:effectLst/>
              <a:latin typeface="Cambria" panose="02040503050406030204" pitchFamily="18" charset="0"/>
              <a:ea typeface="+mn-ea"/>
              <a:cs typeface="+mn-cs"/>
            </a:rPr>
            <a:t>Detta är en förenkling för att inte behöva göra driftskalkyler för alla år under stallets ekonomiska livslängd. Driftskalkylen för år 1 med full drift används i kalkylen som ett uppskattat genomsnitt av alla år under den ekonomiska livslängden. Vid</a:t>
          </a:r>
          <a:r>
            <a:rPr lang="sv-SE" sz="1100" baseline="0">
              <a:solidFill>
                <a:schemeClr val="tx1"/>
              </a:solidFill>
              <a:effectLst/>
              <a:latin typeface="Cambria" panose="02040503050406030204" pitchFamily="18" charset="0"/>
              <a:ea typeface="+mn-ea"/>
              <a:cs typeface="+mn-cs"/>
            </a:rPr>
            <a:t> beräkningen av nuvärdet antas att driftnettot år 1 kommer att följa inflationen under den ekonomiska livslängden. Inflationen uppskattas till 1% per år. </a:t>
          </a:r>
        </a:p>
        <a:p>
          <a:pPr eaLnBrk="1" fontAlgn="auto" latinLnBrk="0" hangingPunct="1"/>
          <a:endParaRPr lang="sv-SE" sz="1100" baseline="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Driftskalkylen omfattar de huvudsakliga intäkter och kostnader som kan kopplas till stallet. </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r>
            <a:rPr lang="sv-SE" sz="1100">
              <a:solidFill>
                <a:schemeClr val="tx1"/>
              </a:solidFill>
              <a:effectLst/>
              <a:latin typeface="Cambria" panose="02040503050406030204" pitchFamily="18" charset="0"/>
              <a:ea typeface="+mn-ea"/>
              <a:cs typeface="+mn-cs"/>
            </a:rPr>
            <a:t> </a:t>
          </a:r>
          <a:endParaRPr lang="sv-SE" sz="1100">
            <a:effectLst/>
            <a:latin typeface="Cambria" panose="02040503050406030204" pitchFamily="18" charset="0"/>
          </a:endParaRPr>
        </a:p>
        <a:p>
          <a:r>
            <a:rPr lang="sv-SE" sz="1100" b="1" baseline="0">
              <a:solidFill>
                <a:schemeClr val="tx1"/>
              </a:solidFill>
              <a:effectLst/>
              <a:latin typeface="Cambria" panose="02040503050406030204" pitchFamily="18" charset="0"/>
              <a:ea typeface="+mn-ea"/>
              <a:cs typeface="+mn-cs"/>
            </a:rPr>
            <a:t>Hur tolkar du nettonuvärdet?</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minst 0 kr så klarar stallkonceptet avkastningskravet på 5% (nominellt).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större än 0 kr är avkastningen på investeringen större än 5%.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negativt så klarar inte stallkonceptet avkastningskravet på 5%.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INVESTERINGSUTGIFT</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Enhet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I kolumnen anger du enheten för volymen av varje kalkylpost, till exempel: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st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meter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m2</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Utgift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Alla utgifter anges i svenska kronor (SEK) exklusive moms.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Eget arbete &amp; eget material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Kom ihåg att även räkna med eventuellt eget arbete och eget material i den totala investeringsutgiften. Eget arbete ska värderas till minst 220 kr per timme. Eget material värderas till den utgift som hade betalats om materialet istället köps in.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Inredning, utrustning &amp; maskiner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Precisera vilken inredning, utrustning och maskiner som ska finnas i stallet.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Investeringsutgift för traktor, lastmaskin eller liknande mobil maskin som både används i stallet och för andra ändamål ska ingå i kalkylerna, men endast med den andel som de används i stallet. Maskiner som endast används för driften av stallet ska ingå i sin helhet (till exempel fodermaskiner och strömaskiner).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Här anger du räntan som uppstår under byggtiden. Du ska räkna med 5 % ränta per år på de belopp som ska betalas innan stallet är färdigt att börja användas. Gör en översiktlig sammanställning av när i tiden olika belopp av investeringsutgiften beräknas behöva betalas och beräkna räntan utifrån sammanställningen. Redovisa beräkningen i noten.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Investeringsstöd</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Stödet beräknas enligt schablon till 40% av investeringsutgiften, dock högst 1 200 000 kr.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Investeringsutgift per djurplats</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Maximal investeringsutgift (efter avräknat investeringsstöd enligt schablon) framgår av uppdragsspecifikationen och är: </a:t>
          </a:r>
        </a:p>
        <a:p>
          <a:pPr lvl="0" hangingPunct="0"/>
          <a:r>
            <a:rPr lang="sv-SE" sz="1100">
              <a:solidFill>
                <a:schemeClr val="tx1"/>
              </a:solidFill>
              <a:effectLst/>
              <a:latin typeface="Cambria" panose="02040503050406030204" pitchFamily="18" charset="0"/>
              <a:ea typeface="+mn-ea"/>
              <a:cs typeface="+mn-cs"/>
            </a:rPr>
            <a:t>- 40 000 kr per suggplats</a:t>
          </a:r>
        </a:p>
        <a:p>
          <a:pPr lvl="0" hangingPunct="0"/>
          <a:r>
            <a:rPr lang="sv-SE" sz="1100">
              <a:solidFill>
                <a:schemeClr val="tx1"/>
              </a:solidFill>
              <a:effectLst/>
              <a:latin typeface="Cambria" panose="02040503050406030204" pitchFamily="18" charset="0"/>
              <a:ea typeface="+mn-ea"/>
              <a:cs typeface="+mn-cs"/>
            </a:rPr>
            <a:t>- 5 000 kr per slaktgrisplats</a:t>
          </a:r>
        </a:p>
        <a:p>
          <a:pPr lvl="0" hangingPunct="0"/>
          <a:r>
            <a:rPr lang="sv-SE" sz="1100">
              <a:solidFill>
                <a:schemeClr val="tx1"/>
              </a:solidFill>
              <a:effectLst/>
              <a:latin typeface="Cambria" panose="02040503050406030204" pitchFamily="18" charset="0"/>
              <a:ea typeface="+mn-ea"/>
              <a:cs typeface="+mn-cs"/>
            </a:rPr>
            <a:t>- 50 000 kr per koplats (inkl. sinkor &amp; kalvar upp till 3 mån)</a:t>
          </a:r>
        </a:p>
        <a:p>
          <a:pPr lvl="0" hangingPunct="0"/>
          <a:r>
            <a:rPr lang="sv-SE" sz="1100">
              <a:solidFill>
                <a:schemeClr val="tx1"/>
              </a:solidFill>
              <a:effectLst/>
              <a:latin typeface="Cambria" panose="02040503050406030204" pitchFamily="18" charset="0"/>
              <a:ea typeface="+mn-ea"/>
              <a:cs typeface="+mn-cs"/>
            </a:rPr>
            <a:t>- 3 000 kr per tacka</a:t>
          </a:r>
        </a:p>
        <a:p>
          <a:pPr lvl="0" hangingPunct="0"/>
          <a:r>
            <a:rPr lang="sv-SE" sz="1100">
              <a:solidFill>
                <a:schemeClr val="tx1"/>
              </a:solidFill>
              <a:effectLst/>
              <a:latin typeface="Cambria" panose="02040503050406030204" pitchFamily="18" charset="0"/>
              <a:ea typeface="+mn-ea"/>
              <a:cs typeface="+mn-cs"/>
            </a:rPr>
            <a:t>- 20 000 kr per dikoplats </a:t>
          </a:r>
        </a:p>
        <a:p>
          <a:pPr lvl="0" hangingPunct="0"/>
          <a:r>
            <a:rPr lang="sv-SE" sz="1100">
              <a:solidFill>
                <a:schemeClr val="tx1"/>
              </a:solidFill>
              <a:effectLst/>
              <a:latin typeface="Cambria" panose="02040503050406030204" pitchFamily="18" charset="0"/>
              <a:ea typeface="+mn-ea"/>
              <a:cs typeface="+mn-cs"/>
            </a:rPr>
            <a:t>- 25 000 kr per slaktungnötplats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Utrymmen för visning</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Ange belopp för utrymmen som används särskilt för detta ändamål. Detta belopp ingår inte vid bedömning av investeringsutgift per djurplats eller vid beräkning av räntor och avskrivningar i driftskalkyl eller investeringskalkyl. Investeringsutgiften </a:t>
          </a:r>
          <a:r>
            <a:rPr lang="sv-SE" sz="1100" b="1" i="1" baseline="0">
              <a:solidFill>
                <a:schemeClr val="tx1"/>
              </a:solidFill>
              <a:effectLst/>
              <a:latin typeface="Cambria" panose="02040503050406030204" pitchFamily="18" charset="0"/>
              <a:ea typeface="+mn-ea"/>
              <a:cs typeface="+mn-cs"/>
            </a:rPr>
            <a:t>bör</a:t>
          </a:r>
          <a:r>
            <a:rPr lang="sv-SE" sz="1100" b="0" baseline="0">
              <a:solidFill>
                <a:schemeClr val="tx1"/>
              </a:solidFill>
              <a:effectLst/>
              <a:latin typeface="Cambria" panose="02040503050406030204" pitchFamily="18" charset="0"/>
              <a:ea typeface="+mn-ea"/>
              <a:cs typeface="+mn-cs"/>
            </a:rPr>
            <a:t> inte vara högre än 200 000 kr. </a:t>
          </a:r>
        </a:p>
        <a:p>
          <a:pPr marL="0" marR="0" indent="0" defTabSz="914400" eaLnBrk="1" fontAlgn="auto" latinLnBrk="0" hangingPunct="1">
            <a:lnSpc>
              <a:spcPct val="100000"/>
            </a:lnSpc>
            <a:spcBef>
              <a:spcPts val="0"/>
            </a:spcBef>
            <a:spcAft>
              <a:spcPts val="0"/>
            </a:spcAft>
            <a:buClrTx/>
            <a:buSzTx/>
            <a:buFontTx/>
            <a:buNone/>
            <a:tabLst/>
            <a:defRPr/>
          </a:pPr>
          <a:endParaRPr lang="sv-SE" sz="1100">
            <a:effectLst/>
            <a:latin typeface="Cambria" panose="02040503050406030204" pitchFamily="18" charset="0"/>
          </a:endParaRPr>
        </a:p>
      </xdr:txBody>
    </xdr:sp>
    <xdr:clientData/>
  </xdr:oneCellAnchor>
  <xdr:oneCellAnchor>
    <xdr:from>
      <xdr:col>4</xdr:col>
      <xdr:colOff>99060</xdr:colOff>
      <xdr:row>3</xdr:row>
      <xdr:rowOff>7620</xdr:rowOff>
    </xdr:from>
    <xdr:ext cx="2381249" cy="1257300"/>
    <xdr:sp macro="" textlink="">
      <xdr:nvSpPr>
        <xdr:cNvPr id="3" name="textruta 2"/>
        <xdr:cNvSpPr txBox="1"/>
      </xdr:nvSpPr>
      <xdr:spPr>
        <a:xfrm>
          <a:off x="5410200" y="76200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552450</xdr:colOff>
      <xdr:row>0</xdr:row>
      <xdr:rowOff>76200</xdr:rowOff>
    </xdr:from>
    <xdr:ext cx="7267575" cy="15049500"/>
    <xdr:sp macro="" textlink="">
      <xdr:nvSpPr>
        <xdr:cNvPr id="2" name="textruta 1"/>
        <xdr:cNvSpPr txBox="1"/>
      </xdr:nvSpPr>
      <xdr:spPr>
        <a:xfrm>
          <a:off x="7972425" y="76200"/>
          <a:ext cx="7267575" cy="15049500"/>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sv-SE" sz="1600" b="1">
              <a:solidFill>
                <a:schemeClr val="tx1"/>
              </a:solidFill>
              <a:effectLst/>
              <a:latin typeface="Cambria" panose="02040503050406030204" pitchFamily="18" charset="0"/>
              <a:ea typeface="+mn-ea"/>
              <a:cs typeface="+mn-cs"/>
            </a:rPr>
            <a:t>Anvisningar Slaktgrisar</a:t>
          </a:r>
          <a:endParaRPr lang="sv-SE" sz="16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Vad ska jag räkna med i kalkylen</a:t>
          </a:r>
          <a:r>
            <a:rPr lang="sv-SE" sz="1100" b="1" baseline="0">
              <a:solidFill>
                <a:schemeClr val="tx1"/>
              </a:solidFill>
              <a:effectLst/>
              <a:latin typeface="Cambria" panose="02040503050406030204" pitchFamily="18" charset="0"/>
              <a:ea typeface="+mn-ea"/>
              <a:cs typeface="+mn-cs"/>
            </a:rPr>
            <a: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Driftkalkylen ska innehålla alla intäkter och kostnader som stallet medför under 12 månader. </a:t>
          </a: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endParaRPr lang="sv-SE" sz="110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De intäkter och kostnader som tas upp i kalkylen för konceptet ska baseras på utfallet de 2–3 senaste åren i verksamheten som bedrivs av den jordbrukare som igår i utvecklingsgruppen, om inget annat framgår av anvisningarna i kalkylmallen. Om det finns skäl får andra värden användas. Det innebär till exempel att erfarenheter av nivåerna för foderpriser de senaste åren bör vara utgångspunkten i bedömningen av foderpriset i kalkylen. Om till exempel inköpta volymer ökar och det är rimligt att räkna med ett bättre pris på grund av större volymer så justeras värdet i kalkylen. Kalkylvärdena kan även justeras när andra förutsättningar förändras jämfört med förutsättningarna för värdena de senaste åren. </a:t>
          </a: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Full produktion från</a:t>
          </a:r>
          <a:r>
            <a:rPr lang="sv-SE" sz="1100" b="1" baseline="0">
              <a:solidFill>
                <a:schemeClr val="tx1"/>
              </a:solidFill>
              <a:effectLst/>
              <a:latin typeface="Cambria" panose="02040503050406030204" pitchFamily="18" charset="0"/>
              <a:ea typeface="+mn-ea"/>
              <a:cs typeface="+mn-cs"/>
            </a:rPr>
            <a:t> år 1</a:t>
          </a:r>
          <a:endParaRPr lang="sv-SE">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Kalkylen</a:t>
          </a:r>
          <a:r>
            <a:rPr lang="sv-SE" sz="1100" b="0" baseline="0">
              <a:solidFill>
                <a:schemeClr val="tx1"/>
              </a:solidFill>
              <a:effectLst/>
              <a:latin typeface="Cambria" panose="02040503050406030204" pitchFamily="18" charset="0"/>
              <a:ea typeface="+mn-ea"/>
              <a:cs typeface="+mn-cs"/>
            </a:rPr>
            <a:t> ska visa driften år 1 med full produktion. Även om det i praktiken tar längre tid att komma upp i full produktion, ska kalkylen göras med full produktion redan från år 1. </a:t>
          </a:r>
          <a:r>
            <a:rPr lang="sv-SE" sz="1100">
              <a:solidFill>
                <a:schemeClr val="tx1"/>
              </a:solidFill>
              <a:effectLst/>
              <a:latin typeface="Cambria" panose="02040503050406030204" pitchFamily="18" charset="0"/>
              <a:ea typeface="+mn-ea"/>
              <a:cs typeface="+mn-cs"/>
            </a:rPr>
            <a:t>Detta är en förenkling för att inte behöva göra driftkalkyler för alla år under stallets ekonomiska livslängd. Driftskalkylen för år 1 med full drift används i kalkylen som ett uppskattat genomsnitt av alla år under den ekonomiska livslängden.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ysClr val="windowText" lastClr="000000"/>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Cambria" panose="02040503050406030204" pitchFamily="18" charset="0"/>
              <a:ea typeface="+mn-ea"/>
              <a:cs typeface="+mn-cs"/>
            </a:rPr>
            <a:t>Får jag</a:t>
          </a:r>
          <a:r>
            <a:rPr lang="sv-SE" sz="1100" b="1" baseline="0">
              <a:solidFill>
                <a:sysClr val="windowText" lastClr="000000"/>
              </a:solidFill>
              <a:effectLst/>
              <a:latin typeface="Cambria" panose="02040503050406030204" pitchFamily="18" charset="0"/>
              <a:ea typeface="+mn-ea"/>
              <a:cs typeface="+mn-cs"/>
            </a:rPr>
            <a:t> ändra värden? </a:t>
          </a:r>
          <a:endParaRPr lang="sv-SE" sz="1100" b="1">
            <a:solidFill>
              <a:sysClr val="windowText" lastClr="000000"/>
            </a:solidFill>
            <a:effectLst/>
            <a:latin typeface="Cambria"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Du</a:t>
          </a:r>
          <a:r>
            <a:rPr lang="sv-SE" sz="1100" b="0" baseline="0">
              <a:solidFill>
                <a:schemeClr val="tx1"/>
              </a:solidFill>
              <a:effectLst/>
              <a:latin typeface="Cambria" panose="02040503050406030204" pitchFamily="18" charset="0"/>
              <a:ea typeface="+mn-ea"/>
              <a:cs typeface="+mn-cs"/>
            </a:rPr>
            <a:t> får ändra alla värden och enheter i kalkylen utom de rutor som är gulmarkerade.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Grundförutsättningar</a:t>
          </a:r>
        </a:p>
        <a:p>
          <a:pPr eaLnBrk="1" fontAlgn="auto" latinLnBrk="0" hangingPunct="1"/>
          <a:r>
            <a:rPr lang="sv-SE" sz="1100" b="0">
              <a:solidFill>
                <a:schemeClr val="tx1"/>
              </a:solidFill>
              <a:effectLst/>
              <a:latin typeface="Cambria" panose="02040503050406030204" pitchFamily="18" charset="0"/>
              <a:ea typeface="+mn-ea"/>
              <a:cs typeface="+mn-cs"/>
            </a:rPr>
            <a:t>Antal djurplatser - </a:t>
          </a:r>
          <a:r>
            <a:rPr lang="sv-SE" sz="1100" b="0" baseline="0">
              <a:solidFill>
                <a:schemeClr val="tx1"/>
              </a:solidFill>
              <a:effectLst/>
              <a:latin typeface="Cambria" panose="02040503050406030204" pitchFamily="18" charset="0"/>
              <a:ea typeface="+mn-ea"/>
              <a:cs typeface="+mn-cs"/>
            </a:rPr>
            <a:t>Uppgiften hämtas från fliken "Investeringskalkyl". </a:t>
          </a:r>
        </a:p>
        <a:p>
          <a:pPr eaLnBrk="1" fontAlgn="auto" latinLnBrk="0" hangingPunct="1"/>
          <a:r>
            <a:rPr lang="sv-SE" sz="1100" b="0" baseline="0">
              <a:solidFill>
                <a:schemeClr val="tx1"/>
              </a:solidFill>
              <a:effectLst/>
              <a:latin typeface="Cambria" panose="02040503050406030204" pitchFamily="18" charset="0"/>
              <a:ea typeface="+mn-ea"/>
              <a:cs typeface="+mn-cs"/>
            </a:rPr>
            <a:t>Ange antal uppfödningsomgångar per år.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Belopp &amp; valuta</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Alla utgifter anges i svenska kronor (SEK) exklusive moms.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INTÄKTER</a:t>
          </a:r>
        </a:p>
        <a:p>
          <a:pPr eaLnBrk="1" fontAlgn="auto" latinLnBrk="0" hangingPunct="1"/>
          <a:r>
            <a:rPr lang="sv-SE" sz="1100" b="1" baseline="0">
              <a:solidFill>
                <a:schemeClr val="tx1"/>
              </a:solidFill>
              <a:effectLst/>
              <a:latin typeface="Cambria" panose="02040503050406030204" pitchFamily="18" charset="0"/>
              <a:ea typeface="+mn-ea"/>
              <a:cs typeface="+mn-cs"/>
            </a:rPr>
            <a:t>Stöd</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Du kan räkna med de stöd som kräver att de djur finns som stallet byggs för. Stöden beräknas till aktuell nivå för år 2017. (Detta är en förenkling i kalkylen, även om stödnivåerna förväntas förändras kommande år.)</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Gödsel </a:t>
          </a:r>
        </a:p>
        <a:p>
          <a:pPr eaLnBrk="1" fontAlgn="auto" latinLnBrk="0" hangingPunct="1"/>
          <a:r>
            <a:rPr lang="sv-SE" sz="1100" b="0" baseline="0">
              <a:solidFill>
                <a:schemeClr val="tx1"/>
              </a:solidFill>
              <a:effectLst/>
              <a:latin typeface="Cambria" panose="02040503050406030204" pitchFamily="18" charset="0"/>
              <a:ea typeface="+mn-ea"/>
              <a:cs typeface="+mn-cs"/>
            </a:rPr>
            <a:t>Ange nettovärdet efter kostnader för spridning. </a:t>
          </a:r>
          <a:endParaRPr lang="sv-SE" sz="1100" b="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Smågris</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Inköpspriset</a:t>
          </a:r>
          <a:r>
            <a:rPr lang="sv-SE" sz="1100" b="0" baseline="0">
              <a:solidFill>
                <a:schemeClr val="tx1"/>
              </a:solidFill>
              <a:effectLst/>
              <a:latin typeface="Cambria" panose="02040503050406030204" pitchFamily="18" charset="0"/>
              <a:ea typeface="+mn-ea"/>
              <a:cs typeface="+mn-cs"/>
            </a:rPr>
            <a:t> ska vara minst 631 kr. Det är den nivå som krävs för att smågrisproducenten ska kunna producera en gris för 550 kr och ha täckning för administration</a:t>
          </a:r>
          <a:r>
            <a:rPr lang="sv-SE" sz="1100" b="0">
              <a:solidFill>
                <a:schemeClr val="tx1"/>
              </a:solidFill>
              <a:effectLst/>
              <a:latin typeface="Cambria" panose="02040503050406030204" pitchFamily="18" charset="0"/>
              <a:ea typeface="+mn-ea"/>
              <a:cs typeface="+mn-cs"/>
            </a:rPr>
            <a:t> och andra gemensamma kostnader för företaget samt vinst och skatt.</a:t>
          </a: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underhåll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Underhållet anges antingen som en procentsats av den totala investeringsutgiften per djurplats, eller som en summa per år och djurplats. Ange det uppskattade genomsnittliga underhållet per år under investeringens </a:t>
          </a:r>
          <a:r>
            <a:rPr lang="sv-SE" sz="1100" b="1" i="1" baseline="0">
              <a:solidFill>
                <a:schemeClr val="tx1"/>
              </a:solidFill>
              <a:effectLst/>
              <a:latin typeface="Cambria" panose="02040503050406030204" pitchFamily="18" charset="0"/>
              <a:ea typeface="+mn-ea"/>
              <a:cs typeface="+mn-cs"/>
            </a:rPr>
            <a:t>ekonomiska</a:t>
          </a:r>
          <a:r>
            <a:rPr lang="sv-SE" sz="1100" b="0" baseline="0">
              <a:solidFill>
                <a:schemeClr val="tx1"/>
              </a:solidFill>
              <a:effectLst/>
              <a:latin typeface="Cambria" panose="02040503050406030204" pitchFamily="18" charset="0"/>
              <a:ea typeface="+mn-ea"/>
              <a:cs typeface="+mn-cs"/>
            </a:rPr>
            <a:t> livslängd. Kom ihåg att räkna med underhåll och utbyte av utslitna byggnadsdelar och inventarier som sker vid enstaka tillfällen.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avskrivningar + 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Denna post beräknas automatiskt när du har fyllt i fliken "Investeringskalkyl". Avskrivningar och ränta beräknas som en annuitet, det vill säga summan av avskrivningar och ränta är lika stor varje år under den ekonomiska livslängden (nominellt konstanta). Räntan är 5 % och räknas på hela investeringsbeloppet, oavsett hur investeringen finansieras. </a:t>
          </a: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Ränta</a:t>
          </a:r>
          <a:r>
            <a:rPr lang="sv-SE" sz="1100" b="1" baseline="0">
              <a:solidFill>
                <a:schemeClr val="tx1"/>
              </a:solidFill>
              <a:effectLst/>
              <a:latin typeface="Cambria" panose="02040503050406030204" pitchFamily="18" charset="0"/>
              <a:ea typeface="+mn-ea"/>
              <a:cs typeface="+mn-cs"/>
            </a:rPr>
            <a:t> rörelsekapital</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Bindningen av rörelsekapital räknas med en schablon på alla kostnadsposter i kalkylen (förutom de poster som är med i beräkningen av djurkapital). Schablonen innebär att kapitalbindningen sker successivt i jämn takt för alla kostnadser och att de i genomsnitt betalas i mitten av året. Intäkterna antas i genomsnitt betalas vid årets slut. Räntan är 5 %.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Arbete</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räkna med kostnad för försäkringar och utbildning av personal. </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även räkna med eget arbete. All arbetsid (inklusive eget arbete värderas till </a:t>
          </a:r>
          <a:r>
            <a:rPr lang="sv-SE" sz="1100" b="0" u="sng" baseline="0">
              <a:solidFill>
                <a:schemeClr val="tx1"/>
              </a:solidFill>
              <a:effectLst/>
              <a:latin typeface="Cambria" panose="02040503050406030204" pitchFamily="18" charset="0"/>
              <a:ea typeface="+mn-ea"/>
              <a:cs typeface="+mn-cs"/>
            </a:rPr>
            <a:t>minst</a:t>
          </a:r>
          <a:r>
            <a:rPr lang="sv-SE" sz="1100" b="0" baseline="0">
              <a:solidFill>
                <a:schemeClr val="tx1"/>
              </a:solidFill>
              <a:effectLst/>
              <a:latin typeface="Cambria" panose="02040503050406030204" pitchFamily="18" charset="0"/>
              <a:ea typeface="+mn-ea"/>
              <a:cs typeface="+mn-cs"/>
            </a:rPr>
            <a:t> 220 kr per timme).</a:t>
          </a:r>
          <a:endParaRPr lang="sv-SE">
            <a:effectLst/>
            <a:latin typeface="Cambria" panose="02040503050406030204" pitchFamily="18" charset="0"/>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a:effectLst/>
            <a:latin typeface="Cambria" panose="02040503050406030204" pitchFamily="18" charset="0"/>
          </a:endParaRPr>
        </a:p>
        <a:p>
          <a:pPr eaLnBrk="1" fontAlgn="auto" latinLnBrk="0" hangingPunct="1"/>
          <a:r>
            <a:rPr lang="sv-SE" sz="1100" b="1" baseline="0">
              <a:solidFill>
                <a:schemeClr val="tx1"/>
              </a:solidFill>
              <a:effectLst/>
              <a:latin typeface="Cambria" panose="02040503050406030204" pitchFamily="18" charset="0"/>
              <a:ea typeface="+mn-ea"/>
              <a:cs typeface="+mn-cs"/>
            </a:rPr>
            <a:t>Kontrollera beräkningarna!</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så att alla beräkningar och summeringar är rätt innan du färdigställer kalkylen. </a:t>
          </a:r>
          <a:endParaRPr lang="sv-SE">
            <a:effectLst/>
            <a:latin typeface="Cambria" panose="02040503050406030204" pitchFamily="18" charset="0"/>
          </a:endParaRPr>
        </a:p>
      </xdr:txBody>
    </xdr:sp>
    <xdr:clientData/>
  </xdr:oneCellAnchor>
  <xdr:oneCellAnchor>
    <xdr:from>
      <xdr:col>4</xdr:col>
      <xdr:colOff>259080</xdr:colOff>
      <xdr:row>8</xdr:row>
      <xdr:rowOff>68580</xdr:rowOff>
    </xdr:from>
    <xdr:ext cx="2381249" cy="1257300"/>
    <xdr:sp macro="" textlink="">
      <xdr:nvSpPr>
        <xdr:cNvPr id="3" name="textruta 2"/>
        <xdr:cNvSpPr txBox="1"/>
      </xdr:nvSpPr>
      <xdr:spPr>
        <a:xfrm>
          <a:off x="4770120" y="167640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N17" sqref="N17"/>
    </sheetView>
  </sheetViews>
  <sheetFormatPr defaultRowHeight="14.4" x14ac:dyDescent="0.3"/>
  <sheetData>
    <row r="1" spans="1:1" ht="27.6" x14ac:dyDescent="0.45">
      <c r="A1" s="2" t="s">
        <v>37</v>
      </c>
    </row>
    <row r="2" spans="1:1" x14ac:dyDescent="0.3">
      <c r="A2"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79"/>
  <sheetViews>
    <sheetView workbookViewId="0">
      <selection activeCell="A13" sqref="A13:C28"/>
    </sheetView>
  </sheetViews>
  <sheetFormatPr defaultColWidth="9.109375" defaultRowHeight="13.8" x14ac:dyDescent="0.25"/>
  <cols>
    <col min="1" max="1" width="38.44140625" style="3" customWidth="1"/>
    <col min="2" max="2" width="16.5546875" style="3" bestFit="1" customWidth="1"/>
    <col min="3" max="3" width="12" style="3" customWidth="1"/>
    <col min="4" max="4" width="10.44140625" style="3" customWidth="1"/>
    <col min="5" max="5" width="16" style="3" bestFit="1" customWidth="1"/>
    <col min="6" max="6" width="18.109375" style="3" bestFit="1" customWidth="1"/>
    <col min="7" max="16384" width="9.109375" style="3"/>
  </cols>
  <sheetData>
    <row r="1" spans="1:7" ht="27.6" x14ac:dyDescent="0.45">
      <c r="A1" s="2" t="s">
        <v>85</v>
      </c>
    </row>
    <row r="2" spans="1:7" ht="17.399999999999999" x14ac:dyDescent="0.3">
      <c r="A2" s="29" t="s">
        <v>127</v>
      </c>
    </row>
    <row r="3" spans="1:7" ht="14.4" thickBot="1" x14ac:dyDescent="0.3">
      <c r="A3" s="4"/>
    </row>
    <row r="4" spans="1:7" x14ac:dyDescent="0.25">
      <c r="A4" s="5" t="s">
        <v>34</v>
      </c>
      <c r="B4" s="6"/>
      <c r="C4" s="7"/>
      <c r="D4" s="8"/>
      <c r="F4" s="9"/>
      <c r="G4" s="9"/>
    </row>
    <row r="5" spans="1:7" x14ac:dyDescent="0.25">
      <c r="A5" s="21" t="s">
        <v>36</v>
      </c>
      <c r="B5" s="22" t="s">
        <v>35</v>
      </c>
      <c r="C5" s="22"/>
      <c r="D5" s="23"/>
      <c r="F5" s="9"/>
      <c r="G5" s="9"/>
    </row>
    <row r="6" spans="1:7" x14ac:dyDescent="0.25">
      <c r="A6" s="30" t="s">
        <v>121</v>
      </c>
      <c r="B6" s="31" t="s">
        <v>124</v>
      </c>
      <c r="C6" s="32"/>
      <c r="D6" s="33"/>
      <c r="E6" s="9"/>
      <c r="F6" s="10"/>
      <c r="G6" s="9"/>
    </row>
    <row r="7" spans="1:7" x14ac:dyDescent="0.25">
      <c r="A7" s="30" t="s">
        <v>122</v>
      </c>
      <c r="B7" s="31" t="s">
        <v>123</v>
      </c>
      <c r="C7" s="32"/>
      <c r="D7" s="33"/>
      <c r="E7" s="9"/>
      <c r="F7" s="10"/>
      <c r="G7" s="9"/>
    </row>
    <row r="8" spans="1:7" x14ac:dyDescent="0.25">
      <c r="A8" s="30" t="s">
        <v>125</v>
      </c>
      <c r="B8" s="31" t="s">
        <v>126</v>
      </c>
      <c r="C8" s="32"/>
      <c r="D8" s="33"/>
      <c r="E8" s="9"/>
      <c r="F8" s="10"/>
      <c r="G8" s="9"/>
    </row>
    <row r="9" spans="1:7" x14ac:dyDescent="0.25">
      <c r="A9" s="30" t="s">
        <v>128</v>
      </c>
      <c r="B9" s="31" t="s">
        <v>129</v>
      </c>
      <c r="C9" s="32"/>
      <c r="D9" s="33"/>
      <c r="E9" s="9"/>
      <c r="F9" s="10"/>
      <c r="G9" s="9"/>
    </row>
    <row r="10" spans="1:7" ht="14.4" thickBot="1" x14ac:dyDescent="0.3">
      <c r="A10" s="34" t="s">
        <v>130</v>
      </c>
      <c r="B10" s="35" t="s">
        <v>131</v>
      </c>
      <c r="C10" s="35"/>
      <c r="D10" s="36"/>
      <c r="E10" s="11"/>
      <c r="F10" s="11"/>
      <c r="G10" s="11"/>
    </row>
    <row r="11" spans="1:7" x14ac:dyDescent="0.25">
      <c r="A11" s="4"/>
    </row>
    <row r="12" spans="1:7" ht="14.4" thickBot="1" x14ac:dyDescent="0.3">
      <c r="A12" s="15"/>
      <c r="B12" s="14"/>
      <c r="C12" s="15"/>
      <c r="D12" s="15"/>
    </row>
    <row r="13" spans="1:7" ht="17.399999999999999" x14ac:dyDescent="0.3">
      <c r="A13" s="142" t="s">
        <v>91</v>
      </c>
      <c r="B13" s="143" t="s">
        <v>86</v>
      </c>
      <c r="C13" s="144" t="s">
        <v>31</v>
      </c>
      <c r="D13" s="16"/>
    </row>
    <row r="14" spans="1:7" ht="18" x14ac:dyDescent="0.35">
      <c r="A14" s="145" t="s">
        <v>32</v>
      </c>
      <c r="B14" s="146">
        <v>4992</v>
      </c>
      <c r="C14" s="147" t="s">
        <v>38</v>
      </c>
      <c r="D14" s="9" t="s">
        <v>116</v>
      </c>
    </row>
    <row r="15" spans="1:7" ht="18" x14ac:dyDescent="0.35">
      <c r="A15" s="98" t="s">
        <v>87</v>
      </c>
      <c r="B15" s="148">
        <v>5930</v>
      </c>
      <c r="C15" s="149" t="s">
        <v>1</v>
      </c>
    </row>
    <row r="16" spans="1:7" ht="36.75" customHeight="1" x14ac:dyDescent="0.35">
      <c r="A16" s="150" t="s">
        <v>88</v>
      </c>
      <c r="B16" s="148">
        <v>483</v>
      </c>
      <c r="C16" s="149" t="s">
        <v>1</v>
      </c>
      <c r="D16" s="9"/>
    </row>
    <row r="17" spans="1:6" ht="18" x14ac:dyDescent="0.35">
      <c r="A17" s="151" t="s">
        <v>89</v>
      </c>
      <c r="B17" s="152"/>
      <c r="C17" s="153" t="s">
        <v>1</v>
      </c>
      <c r="D17" s="9"/>
    </row>
    <row r="18" spans="1:6" ht="18.600000000000001" thickBot="1" x14ac:dyDescent="0.4">
      <c r="A18" s="100" t="s">
        <v>0</v>
      </c>
      <c r="B18" s="154">
        <f>SUM(B15:B16)</f>
        <v>6413</v>
      </c>
      <c r="C18" s="155" t="s">
        <v>1</v>
      </c>
      <c r="D18" s="11"/>
      <c r="E18" s="11"/>
      <c r="F18" s="11"/>
    </row>
    <row r="19" spans="1:6" ht="17.399999999999999" x14ac:dyDescent="0.3">
      <c r="A19" s="142" t="s">
        <v>85</v>
      </c>
      <c r="B19" s="143" t="s">
        <v>86</v>
      </c>
      <c r="C19" s="144" t="s">
        <v>31</v>
      </c>
      <c r="D19" s="16"/>
    </row>
    <row r="20" spans="1:6" ht="36" x14ac:dyDescent="0.35">
      <c r="A20" s="145" t="s">
        <v>108</v>
      </c>
      <c r="B20" s="156">
        <f>Investeringskalkyl!F70</f>
        <v>27522268</v>
      </c>
      <c r="C20" s="157" t="s">
        <v>40</v>
      </c>
      <c r="D20" s="16"/>
    </row>
    <row r="21" spans="1:6" ht="18" x14ac:dyDescent="0.35">
      <c r="A21" s="145" t="s">
        <v>109</v>
      </c>
      <c r="B21" s="158">
        <f>IF(Investeringskalkyl!$C$14="suggor",#REF!)+IF(Investeringskalkyl!$C$14="slaktgrisar",'Driftkalkyl - Slaktgrisar'!$B$8)+IF(Investeringskalkyl!$C$14="tackor",#REF!)+IF(Investeringskalkyl!$C$14="dikor",#REF!)+IF(Investeringskalkyl!$C$14="slaktungnöt",#REF!)+IF(Investeringskalkyl!$C$14="mjölkkor",#REF!)</f>
        <v>1647806.9477422931</v>
      </c>
      <c r="C21" s="157" t="s">
        <v>69</v>
      </c>
      <c r="D21" s="16"/>
      <c r="E21" s="27"/>
      <c r="F21" s="28"/>
    </row>
    <row r="22" spans="1:6" ht="36" x14ac:dyDescent="0.35">
      <c r="A22" s="145" t="s">
        <v>110</v>
      </c>
      <c r="B22" s="158">
        <f>$B$21+(IF(Investeringskalkyl!$C$14="suggor",#REF!)+IF(Investeringskalkyl!$C$14="slaktgrisar",'Driftkalkyl - Slaktgrisar'!$G$44)+IF(Investeringskalkyl!$C$14="tackor",#REF!)+IF(Investeringskalkyl!$C$14="dikor",#REF!)+IF(Investeringskalkyl!$C$14="slaktungnöt",#REF!)+IF(Investeringskalkyl!$C$14="mjölkkor",#REF!))</f>
        <v>4299365.2070569955</v>
      </c>
      <c r="C22" s="157" t="s">
        <v>69</v>
      </c>
      <c r="D22" s="16"/>
    </row>
    <row r="23" spans="1:6" ht="36" x14ac:dyDescent="0.35">
      <c r="A23" s="145" t="s">
        <v>72</v>
      </c>
      <c r="B23" s="159">
        <v>0.05</v>
      </c>
      <c r="C23" s="157"/>
      <c r="D23" s="16"/>
    </row>
    <row r="24" spans="1:6" ht="18" x14ac:dyDescent="0.35">
      <c r="A24" s="145" t="s">
        <v>73</v>
      </c>
      <c r="B24" s="159">
        <v>0.01</v>
      </c>
      <c r="C24" s="157" t="s">
        <v>74</v>
      </c>
      <c r="D24" s="16"/>
    </row>
    <row r="25" spans="1:6" ht="18" x14ac:dyDescent="0.35">
      <c r="A25" s="145" t="s">
        <v>75</v>
      </c>
      <c r="B25" s="160">
        <f>(1+$B$23)/(1+$B$24)-1</f>
        <v>3.9603960396039639E-2</v>
      </c>
      <c r="C25" s="157"/>
      <c r="D25" s="16"/>
    </row>
    <row r="26" spans="1:6" ht="18" x14ac:dyDescent="0.35">
      <c r="A26" s="145" t="s">
        <v>67</v>
      </c>
      <c r="B26" s="161">
        <v>15</v>
      </c>
      <c r="C26" s="157" t="s">
        <v>68</v>
      </c>
      <c r="D26" s="16"/>
    </row>
    <row r="27" spans="1:6" ht="36" x14ac:dyDescent="0.35">
      <c r="A27" s="145" t="s">
        <v>118</v>
      </c>
      <c r="B27" s="162">
        <f>($B$22*((1-(1+$B$25)^(-$B$26))/$B$25))</f>
        <v>47934657.00631538</v>
      </c>
      <c r="C27" s="157" t="s">
        <v>69</v>
      </c>
      <c r="D27" s="16"/>
    </row>
    <row r="28" spans="1:6" ht="18.600000000000001" thickBot="1" x14ac:dyDescent="0.4">
      <c r="A28" s="163" t="s">
        <v>106</v>
      </c>
      <c r="B28" s="164">
        <f>-$B$20+($B$22*((1-(1+$B$25)^(-$B$26))/$B$25))</f>
        <v>20412389.00631538</v>
      </c>
      <c r="C28" s="165" t="s">
        <v>40</v>
      </c>
      <c r="D28" s="16"/>
    </row>
    <row r="29" spans="1:6" x14ac:dyDescent="0.25">
      <c r="A29" s="20"/>
      <c r="B29" s="26"/>
      <c r="C29" s="19"/>
      <c r="D29" s="16"/>
    </row>
    <row r="30" spans="1:6" ht="14.4" thickBot="1" x14ac:dyDescent="0.3">
      <c r="A30" s="20"/>
      <c r="B30" s="20"/>
      <c r="C30" s="19"/>
      <c r="D30" s="16"/>
    </row>
    <row r="31" spans="1:6" ht="18" x14ac:dyDescent="0.35">
      <c r="A31" s="86" t="s">
        <v>90</v>
      </c>
      <c r="B31" s="87"/>
      <c r="C31" s="87"/>
      <c r="D31" s="87"/>
      <c r="E31" s="87"/>
      <c r="F31" s="88"/>
    </row>
    <row r="32" spans="1:6" s="12" customFormat="1" ht="18" x14ac:dyDescent="0.35">
      <c r="A32" s="89" t="s">
        <v>2</v>
      </c>
      <c r="B32" s="90" t="s">
        <v>6</v>
      </c>
      <c r="C32" s="91" t="s">
        <v>5</v>
      </c>
      <c r="D32" s="91" t="s">
        <v>31</v>
      </c>
      <c r="E32" s="91" t="s">
        <v>4</v>
      </c>
      <c r="F32" s="92" t="s">
        <v>3</v>
      </c>
    </row>
    <row r="33" spans="1:6" ht="18" x14ac:dyDescent="0.35">
      <c r="A33" s="93" t="s">
        <v>7</v>
      </c>
      <c r="B33" s="94"/>
      <c r="C33" s="95"/>
      <c r="D33" s="95"/>
      <c r="E33" s="96"/>
      <c r="F33" s="97"/>
    </row>
    <row r="34" spans="1:6" ht="18" x14ac:dyDescent="0.35">
      <c r="A34" s="98" t="s">
        <v>24</v>
      </c>
      <c r="B34" s="94">
        <v>1</v>
      </c>
      <c r="C34" s="95">
        <v>6413</v>
      </c>
      <c r="D34" s="95" t="s">
        <v>1</v>
      </c>
      <c r="E34" s="96">
        <v>100</v>
      </c>
      <c r="F34" s="99">
        <f t="shared" ref="F34" si="0">C34*E34</f>
        <v>641300</v>
      </c>
    </row>
    <row r="35" spans="1:6" ht="18" x14ac:dyDescent="0.35">
      <c r="A35" s="98" t="s">
        <v>25</v>
      </c>
      <c r="B35" s="94"/>
      <c r="C35" s="95"/>
      <c r="D35" s="95"/>
      <c r="E35" s="96"/>
      <c r="F35" s="99"/>
    </row>
    <row r="36" spans="1:6" ht="18" x14ac:dyDescent="0.35">
      <c r="A36" s="100" t="s">
        <v>27</v>
      </c>
      <c r="B36" s="101"/>
      <c r="C36" s="102"/>
      <c r="D36" s="102"/>
      <c r="E36" s="103"/>
      <c r="F36" s="104">
        <f>SUM(F34:F35)</f>
        <v>641300</v>
      </c>
    </row>
    <row r="37" spans="1:6" ht="18" x14ac:dyDescent="0.35">
      <c r="A37" s="105" t="s">
        <v>8</v>
      </c>
      <c r="B37" s="106"/>
      <c r="C37" s="107"/>
      <c r="D37" s="107"/>
      <c r="E37" s="108"/>
      <c r="F37" s="97"/>
    </row>
    <row r="38" spans="1:6" ht="18" x14ac:dyDescent="0.35">
      <c r="A38" s="98" t="s">
        <v>9</v>
      </c>
      <c r="B38" s="94">
        <v>2</v>
      </c>
      <c r="C38" s="95">
        <v>6413</v>
      </c>
      <c r="D38" s="95"/>
      <c r="E38" s="96">
        <v>2657</v>
      </c>
      <c r="F38" s="99">
        <f>C38*E38</f>
        <v>17039341</v>
      </c>
    </row>
    <row r="39" spans="1:6" ht="18" x14ac:dyDescent="0.35">
      <c r="A39" s="98" t="s">
        <v>11</v>
      </c>
      <c r="B39" s="94"/>
      <c r="C39" s="95"/>
      <c r="D39" s="95"/>
      <c r="E39" s="96"/>
      <c r="F39" s="99"/>
    </row>
    <row r="40" spans="1:6" ht="18" x14ac:dyDescent="0.35">
      <c r="A40" s="98" t="s">
        <v>10</v>
      </c>
      <c r="B40" s="94"/>
      <c r="C40" s="95"/>
      <c r="D40" s="95"/>
      <c r="E40" s="96"/>
      <c r="F40" s="99"/>
    </row>
    <row r="41" spans="1:6" ht="18" x14ac:dyDescent="0.35">
      <c r="A41" s="98" t="s">
        <v>12</v>
      </c>
      <c r="B41" s="94"/>
      <c r="C41" s="95"/>
      <c r="D41" s="95"/>
      <c r="E41" s="96"/>
      <c r="F41" s="99"/>
    </row>
    <row r="42" spans="1:6" ht="18" x14ac:dyDescent="0.35">
      <c r="A42" s="100" t="s">
        <v>27</v>
      </c>
      <c r="B42" s="101"/>
      <c r="C42" s="102"/>
      <c r="D42" s="102"/>
      <c r="E42" s="103"/>
      <c r="F42" s="104">
        <f>SUM(F38:F41)</f>
        <v>17039341</v>
      </c>
    </row>
    <row r="43" spans="1:6" ht="18" x14ac:dyDescent="0.35">
      <c r="A43" s="105" t="s">
        <v>13</v>
      </c>
      <c r="B43" s="106"/>
      <c r="C43" s="107"/>
      <c r="D43" s="107"/>
      <c r="E43" s="108"/>
      <c r="F43" s="97"/>
    </row>
    <row r="44" spans="1:6" ht="18" x14ac:dyDescent="0.35">
      <c r="A44" s="98" t="s">
        <v>155</v>
      </c>
      <c r="B44" s="94">
        <v>3</v>
      </c>
      <c r="C44" s="95"/>
      <c r="D44" s="95"/>
      <c r="E44" s="96"/>
      <c r="F44" s="99">
        <v>27826</v>
      </c>
    </row>
    <row r="45" spans="1:6" ht="18" x14ac:dyDescent="0.35">
      <c r="A45" s="98" t="s">
        <v>14</v>
      </c>
      <c r="B45" s="94">
        <v>4</v>
      </c>
      <c r="C45" s="95"/>
      <c r="D45" s="95"/>
      <c r="E45" s="96"/>
      <c r="F45" s="99">
        <f>1240254-27826</f>
        <v>1212428</v>
      </c>
    </row>
    <row r="46" spans="1:6" ht="18" x14ac:dyDescent="0.35">
      <c r="A46" s="98" t="s">
        <v>15</v>
      </c>
      <c r="B46" s="94">
        <v>5</v>
      </c>
      <c r="C46" s="95"/>
      <c r="D46" s="95"/>
      <c r="E46" s="96"/>
      <c r="F46" s="99">
        <v>1626703</v>
      </c>
    </row>
    <row r="47" spans="1:6" ht="18" x14ac:dyDescent="0.35">
      <c r="A47" s="98" t="s">
        <v>16</v>
      </c>
      <c r="B47" s="94"/>
      <c r="C47" s="95"/>
      <c r="D47" s="95"/>
      <c r="E47" s="96"/>
      <c r="F47" s="99"/>
    </row>
    <row r="48" spans="1:6" ht="18" x14ac:dyDescent="0.35">
      <c r="A48" s="98" t="s">
        <v>17</v>
      </c>
      <c r="B48" s="94">
        <v>6</v>
      </c>
      <c r="C48" s="95"/>
      <c r="D48" s="95"/>
      <c r="E48" s="96"/>
      <c r="F48" s="99">
        <v>1220458</v>
      </c>
    </row>
    <row r="49" spans="1:6" ht="18" x14ac:dyDescent="0.35">
      <c r="A49" s="98" t="s">
        <v>18</v>
      </c>
      <c r="B49" s="94"/>
      <c r="C49" s="95"/>
      <c r="D49" s="95"/>
      <c r="E49" s="96"/>
      <c r="F49" s="99"/>
    </row>
    <row r="50" spans="1:6" ht="18" x14ac:dyDescent="0.35">
      <c r="A50" s="100" t="s">
        <v>28</v>
      </c>
      <c r="B50" s="101"/>
      <c r="C50" s="102"/>
      <c r="D50" s="102"/>
      <c r="E50" s="103"/>
      <c r="F50" s="104">
        <f>SUM(F44:F49)</f>
        <v>4087415</v>
      </c>
    </row>
    <row r="51" spans="1:6" ht="18" x14ac:dyDescent="0.35">
      <c r="A51" s="105" t="s">
        <v>26</v>
      </c>
      <c r="B51" s="106"/>
      <c r="C51" s="107"/>
      <c r="D51" s="107"/>
      <c r="E51" s="108"/>
      <c r="F51" s="97"/>
    </row>
    <row r="52" spans="1:6" ht="18" x14ac:dyDescent="0.35">
      <c r="A52" s="98"/>
      <c r="B52" s="94"/>
      <c r="C52" s="95"/>
      <c r="D52" s="95"/>
      <c r="E52" s="96"/>
      <c r="F52" s="99"/>
    </row>
    <row r="53" spans="1:6" ht="18" x14ac:dyDescent="0.35">
      <c r="A53" s="98" t="s">
        <v>150</v>
      </c>
      <c r="B53" s="94">
        <v>7</v>
      </c>
      <c r="C53" s="95"/>
      <c r="D53" s="95"/>
      <c r="E53" s="96"/>
      <c r="F53" s="99">
        <v>3824044</v>
      </c>
    </row>
    <row r="54" spans="1:6" ht="18" x14ac:dyDescent="0.35">
      <c r="A54" s="98"/>
      <c r="B54" s="94"/>
      <c r="C54" s="95"/>
      <c r="D54" s="95"/>
      <c r="E54" s="96"/>
      <c r="F54" s="99"/>
    </row>
    <row r="55" spans="1:6" ht="18" x14ac:dyDescent="0.35">
      <c r="A55" s="98"/>
      <c r="B55" s="94"/>
      <c r="C55" s="95"/>
      <c r="D55" s="95"/>
      <c r="E55" s="96"/>
      <c r="F55" s="99"/>
    </row>
    <row r="56" spans="1:6" ht="18" x14ac:dyDescent="0.35">
      <c r="A56" s="100" t="s">
        <v>29</v>
      </c>
      <c r="B56" s="101"/>
      <c r="C56" s="102"/>
      <c r="D56" s="102"/>
      <c r="E56" s="103"/>
      <c r="F56" s="104">
        <f>SUM(F52:F55)</f>
        <v>3824044</v>
      </c>
    </row>
    <row r="57" spans="1:6" ht="18" x14ac:dyDescent="0.35">
      <c r="A57" s="105" t="s">
        <v>153</v>
      </c>
      <c r="B57" s="106">
        <v>8</v>
      </c>
      <c r="C57" s="107"/>
      <c r="D57" s="107"/>
      <c r="E57" s="108"/>
      <c r="F57" s="109">
        <f>2200000</f>
        <v>2200000</v>
      </c>
    </row>
    <row r="58" spans="1:6" ht="18" x14ac:dyDescent="0.35">
      <c r="A58" s="98" t="s">
        <v>19</v>
      </c>
      <c r="B58" s="94"/>
      <c r="C58" s="95"/>
      <c r="D58" s="95"/>
      <c r="E58" s="96"/>
      <c r="F58" s="99"/>
    </row>
    <row r="59" spans="1:6" ht="18" x14ac:dyDescent="0.35">
      <c r="A59" s="98" t="s">
        <v>20</v>
      </c>
      <c r="B59" s="94"/>
      <c r="C59" s="95"/>
      <c r="D59" s="95"/>
      <c r="E59" s="96"/>
      <c r="F59" s="99"/>
    </row>
    <row r="60" spans="1:6" ht="18" x14ac:dyDescent="0.35">
      <c r="A60" s="98" t="s">
        <v>21</v>
      </c>
      <c r="B60" s="94">
        <v>9</v>
      </c>
      <c r="C60" s="95"/>
      <c r="D60" s="95"/>
      <c r="E60" s="96"/>
      <c r="F60" s="99">
        <v>150000</v>
      </c>
    </row>
    <row r="61" spans="1:6" ht="18" x14ac:dyDescent="0.35">
      <c r="A61" s="98" t="s">
        <v>152</v>
      </c>
      <c r="B61" s="94"/>
      <c r="C61" s="95"/>
      <c r="D61" s="95"/>
      <c r="E61" s="96"/>
      <c r="F61" s="99"/>
    </row>
    <row r="62" spans="1:6" ht="18" x14ac:dyDescent="0.35">
      <c r="A62" s="98" t="s">
        <v>22</v>
      </c>
      <c r="B62" s="94"/>
      <c r="C62" s="95"/>
      <c r="D62" s="95"/>
      <c r="E62" s="96"/>
      <c r="F62" s="99"/>
    </row>
    <row r="63" spans="1:6" ht="18" x14ac:dyDescent="0.35">
      <c r="A63" s="100" t="s">
        <v>30</v>
      </c>
      <c r="B63" s="101"/>
      <c r="C63" s="102"/>
      <c r="D63" s="102"/>
      <c r="E63" s="103"/>
      <c r="F63" s="104">
        <f>F57+150000</f>
        <v>2350000</v>
      </c>
    </row>
    <row r="64" spans="1:6" ht="18" x14ac:dyDescent="0.35">
      <c r="A64" s="105" t="s">
        <v>76</v>
      </c>
      <c r="B64" s="106"/>
      <c r="C64" s="107"/>
      <c r="D64" s="107"/>
      <c r="E64" s="108"/>
      <c r="F64" s="109"/>
    </row>
    <row r="65" spans="1:6" ht="18" x14ac:dyDescent="0.35">
      <c r="A65" s="98" t="s">
        <v>23</v>
      </c>
      <c r="B65" s="94">
        <v>10</v>
      </c>
      <c r="C65" s="95"/>
      <c r="D65" s="95"/>
      <c r="E65" s="96"/>
      <c r="F65" s="99">
        <v>456100</v>
      </c>
    </row>
    <row r="66" spans="1:6" ht="18" x14ac:dyDescent="0.35">
      <c r="A66" s="98" t="s">
        <v>78</v>
      </c>
      <c r="B66" s="94">
        <v>11</v>
      </c>
      <c r="C66" s="110">
        <f>$B$23</f>
        <v>0.05</v>
      </c>
      <c r="D66" s="95"/>
      <c r="E66" s="96"/>
      <c r="F66" s="99">
        <v>324068</v>
      </c>
    </row>
    <row r="67" spans="1:6" ht="18" x14ac:dyDescent="0.35">
      <c r="A67" s="100" t="s">
        <v>77</v>
      </c>
      <c r="B67" s="111"/>
      <c r="C67" s="112"/>
      <c r="D67" s="112"/>
      <c r="E67" s="113"/>
      <c r="F67" s="104">
        <f>SUM(F65:F66)</f>
        <v>780168</v>
      </c>
    </row>
    <row r="68" spans="1:6" ht="18" x14ac:dyDescent="0.35">
      <c r="A68" s="114" t="s">
        <v>119</v>
      </c>
      <c r="B68" s="115"/>
      <c r="C68" s="116"/>
      <c r="D68" s="116"/>
      <c r="E68" s="117"/>
      <c r="F68" s="118">
        <f>$F$36+$F$42+$F$50+$F$56+$F$63+$F$67</f>
        <v>28722268</v>
      </c>
    </row>
    <row r="69" spans="1:6" s="13" customFormat="1" ht="18" x14ac:dyDescent="0.35">
      <c r="A69" s="119" t="s">
        <v>62</v>
      </c>
      <c r="B69" s="120"/>
      <c r="C69" s="121"/>
      <c r="D69" s="121"/>
      <c r="E69" s="122"/>
      <c r="F69" s="123">
        <f>IF(($F$68*0.4)&lt;1200000,-$F$68*0.4,-1200000)</f>
        <v>-1200000</v>
      </c>
    </row>
    <row r="70" spans="1:6" s="9" customFormat="1" ht="18" x14ac:dyDescent="0.35">
      <c r="A70" s="124" t="s">
        <v>70</v>
      </c>
      <c r="B70" s="111"/>
      <c r="C70" s="125"/>
      <c r="D70" s="125"/>
      <c r="E70" s="126"/>
      <c r="F70" s="127">
        <f>$F$68+$F$69</f>
        <v>27522268</v>
      </c>
    </row>
    <row r="71" spans="1:6" s="9" customFormat="1" ht="18" x14ac:dyDescent="0.35">
      <c r="A71" s="128" t="s">
        <v>63</v>
      </c>
      <c r="B71" s="129"/>
      <c r="C71" s="130"/>
      <c r="D71" s="130"/>
      <c r="E71" s="131"/>
      <c r="F71" s="132">
        <f>$F$68/$B$14</f>
        <v>5753.6594551282051</v>
      </c>
    </row>
    <row r="72" spans="1:6" ht="18" x14ac:dyDescent="0.35">
      <c r="A72" s="128" t="s">
        <v>71</v>
      </c>
      <c r="B72" s="129"/>
      <c r="C72" s="130"/>
      <c r="D72" s="130"/>
      <c r="E72" s="131"/>
      <c r="F72" s="132">
        <f>($F$68+$F$69)/$B$14</f>
        <v>5513.2748397435898</v>
      </c>
    </row>
    <row r="73" spans="1:6" ht="18" x14ac:dyDescent="0.35">
      <c r="A73" s="133" t="s">
        <v>33</v>
      </c>
      <c r="B73" s="134"/>
      <c r="C73" s="135"/>
      <c r="D73" s="135"/>
      <c r="E73" s="136"/>
      <c r="F73" s="137"/>
    </row>
    <row r="74" spans="1:6" ht="18.600000000000001" thickBot="1" x14ac:dyDescent="0.4">
      <c r="A74" s="138" t="s">
        <v>120</v>
      </c>
      <c r="B74" s="139"/>
      <c r="C74" s="140"/>
      <c r="D74" s="140"/>
      <c r="E74" s="140"/>
      <c r="F74" s="141">
        <f>$F$68+$F$73</f>
        <v>28722268</v>
      </c>
    </row>
    <row r="77" spans="1:6" x14ac:dyDescent="0.25">
      <c r="E77" s="3">
        <f>27878200-1680000</f>
        <v>26198200</v>
      </c>
      <c r="F77" s="3">
        <f>E77-26198200</f>
        <v>0</v>
      </c>
    </row>
    <row r="79" spans="1:6" x14ac:dyDescent="0.25">
      <c r="A79" s="17"/>
      <c r="B79" s="18"/>
      <c r="C79" s="18"/>
      <c r="D79" s="16"/>
    </row>
  </sheetData>
  <dataValidations count="1">
    <dataValidation type="list" allowBlank="1" showInputMessage="1" showErrorMessage="1" promptTitle="Välj djurslag" sqref="C14">
      <formula1>Djurslag</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Z68"/>
  <sheetViews>
    <sheetView tabSelected="1" topLeftCell="A10" workbookViewId="0">
      <selection activeCell="H32" sqref="H32"/>
    </sheetView>
  </sheetViews>
  <sheetFormatPr defaultColWidth="9.109375" defaultRowHeight="13.8" x14ac:dyDescent="0.25"/>
  <cols>
    <col min="1" max="1" width="30.6640625" style="52" customWidth="1"/>
    <col min="2" max="2" width="14.109375" style="52" customWidth="1"/>
    <col min="3" max="3" width="11.88671875" style="52" customWidth="1"/>
    <col min="4" max="4" width="9.109375" style="52" customWidth="1"/>
    <col min="5" max="5" width="15.33203125" style="52" customWidth="1"/>
    <col min="6" max="6" width="14.5546875" style="52" bestFit="1" customWidth="1"/>
    <col min="7" max="7" width="16.5546875" style="52" bestFit="1" customWidth="1"/>
    <col min="8" max="9" width="9.5546875" style="52" bestFit="1" customWidth="1"/>
    <col min="10" max="16384" width="9.109375" style="52"/>
  </cols>
  <sheetData>
    <row r="1" spans="1:37" ht="27.6" x14ac:dyDescent="0.45">
      <c r="A1" s="60" t="s">
        <v>95</v>
      </c>
    </row>
    <row r="2" spans="1:37" ht="14.4" thickBot="1" x14ac:dyDescent="0.3"/>
    <row r="3" spans="1:37" x14ac:dyDescent="0.25">
      <c r="A3" s="61" t="s">
        <v>54</v>
      </c>
      <c r="B3" s="62"/>
      <c r="C3" s="63"/>
    </row>
    <row r="4" spans="1:37" x14ac:dyDescent="0.25">
      <c r="A4" s="41" t="s">
        <v>32</v>
      </c>
      <c r="B4" s="64">
        <f>IF(Investeringskalkyl!$C$14="slaktgrisar",Investeringskalkyl!$B$14,0)</f>
        <v>4992</v>
      </c>
      <c r="C4" s="65" t="s">
        <v>38</v>
      </c>
      <c r="D4" s="66"/>
    </row>
    <row r="5" spans="1:37" ht="14.4" thickBot="1" x14ac:dyDescent="0.3">
      <c r="A5" s="67" t="s">
        <v>98</v>
      </c>
      <c r="B5" s="46">
        <v>3.71</v>
      </c>
      <c r="C5" s="68" t="s">
        <v>41</v>
      </c>
      <c r="D5" s="66"/>
    </row>
    <row r="6" spans="1:37" ht="14.4" thickBot="1" x14ac:dyDescent="0.3">
      <c r="A6" s="69"/>
      <c r="B6" s="70"/>
      <c r="C6" s="71"/>
      <c r="D6" s="66"/>
      <c r="E6" s="85">
        <f>B4*B5</f>
        <v>18520.32</v>
      </c>
    </row>
    <row r="7" spans="1:37" x14ac:dyDescent="0.25">
      <c r="A7" s="47" t="s">
        <v>59</v>
      </c>
      <c r="B7" s="48"/>
    </row>
    <row r="8" spans="1:37" ht="14.4" thickBot="1" x14ac:dyDescent="0.3">
      <c r="A8" s="40" t="s">
        <v>111</v>
      </c>
      <c r="B8" s="25">
        <f>$B$14*$B$4*$B$5</f>
        <v>1647806.9477422931</v>
      </c>
      <c r="E8" s="84">
        <f>Investeringskalkyl!F68/B8</f>
        <v>17.430602558966747</v>
      </c>
    </row>
    <row r="9" spans="1:37" x14ac:dyDescent="0.25">
      <c r="A9" s="41" t="s">
        <v>112</v>
      </c>
      <c r="B9" s="79">
        <f>$B$8/$G$22</f>
        <v>6.0748125720280141E-2</v>
      </c>
    </row>
    <row r="10" spans="1:37" ht="14.4" thickBot="1" x14ac:dyDescent="0.3">
      <c r="A10" s="42" t="s">
        <v>114</v>
      </c>
      <c r="B10" s="43">
        <f>$G$47+$G$48</f>
        <v>818110.47876923066</v>
      </c>
    </row>
    <row r="11" spans="1:37" x14ac:dyDescent="0.25">
      <c r="A11" s="215" t="s">
        <v>107</v>
      </c>
      <c r="B11" s="216"/>
    </row>
    <row r="12" spans="1:37" ht="18.75" customHeight="1" x14ac:dyDescent="0.25">
      <c r="A12" s="44" t="s">
        <v>82</v>
      </c>
      <c r="B12" s="24">
        <f>$F$22-$F$38</f>
        <v>311.13335200000006</v>
      </c>
    </row>
    <row r="13" spans="1:37" x14ac:dyDescent="0.25">
      <c r="A13" s="44" t="s">
        <v>83</v>
      </c>
      <c r="B13" s="24">
        <f>$F$22-$F$38-$F$43</f>
        <v>282.31680693563754</v>
      </c>
    </row>
    <row r="14" spans="1:37" ht="14.4" thickBot="1" x14ac:dyDescent="0.3">
      <c r="A14" s="40" t="s">
        <v>84</v>
      </c>
      <c r="B14" s="25">
        <f>$F$22-$F$38-$F43-$F$50</f>
        <v>88.972919892436693</v>
      </c>
    </row>
    <row r="15" spans="1:37" s="54" customFormat="1" ht="12.15" customHeight="1" x14ac:dyDescent="0.25">
      <c r="A15" s="38"/>
      <c r="B15" s="37"/>
      <c r="C15" s="49"/>
      <c r="D15" s="49"/>
      <c r="E15" s="50"/>
      <c r="F15" s="50"/>
      <c r="G15" s="51"/>
      <c r="H15" s="52"/>
      <c r="I15" s="52"/>
      <c r="J15" s="52"/>
      <c r="K15" s="53"/>
      <c r="M15" s="51"/>
      <c r="N15" s="51"/>
      <c r="O15" s="51"/>
      <c r="P15" s="51"/>
      <c r="Q15" s="51"/>
      <c r="R15" s="51"/>
      <c r="S15" s="51"/>
      <c r="T15" s="51"/>
      <c r="U15" s="51"/>
      <c r="V15" s="51"/>
      <c r="Y15" s="55"/>
      <c r="Z15" s="55"/>
      <c r="AA15" s="55"/>
      <c r="AB15" s="55"/>
      <c r="AC15" s="56"/>
      <c r="AD15" s="56"/>
      <c r="AE15" s="56"/>
      <c r="AF15" s="56"/>
      <c r="AG15" s="56"/>
      <c r="AH15" s="56"/>
      <c r="AI15" s="56"/>
      <c r="AJ15" s="56"/>
      <c r="AK15" s="56"/>
    </row>
    <row r="16" spans="1:37" s="54" customFormat="1" ht="12.15" customHeight="1" x14ac:dyDescent="0.25">
      <c r="A16" s="57"/>
      <c r="B16" s="58"/>
      <c r="C16" s="59"/>
      <c r="D16" s="59"/>
      <c r="E16" s="59"/>
      <c r="F16" s="59"/>
      <c r="G16" s="51"/>
      <c r="H16" s="52"/>
      <c r="I16" s="52"/>
      <c r="J16" s="52"/>
      <c r="K16" s="53"/>
      <c r="M16" s="51"/>
      <c r="N16" s="51"/>
      <c r="O16" s="51"/>
      <c r="P16" s="51"/>
      <c r="Q16" s="51"/>
      <c r="R16" s="51"/>
      <c r="S16" s="51"/>
      <c r="T16" s="51"/>
      <c r="U16" s="51"/>
      <c r="V16" s="51"/>
      <c r="Y16" s="55"/>
      <c r="Z16" s="55"/>
      <c r="AA16" s="55"/>
      <c r="AB16" s="55"/>
      <c r="AC16" s="56"/>
      <c r="AD16" s="56"/>
      <c r="AE16" s="56"/>
      <c r="AF16" s="56"/>
      <c r="AG16" s="56"/>
      <c r="AH16" s="56"/>
      <c r="AI16" s="56"/>
      <c r="AJ16" s="56"/>
      <c r="AK16" s="56"/>
    </row>
    <row r="17" spans="1:52" s="54" customFormat="1" ht="31.8" x14ac:dyDescent="0.35">
      <c r="A17" s="166" t="s">
        <v>92</v>
      </c>
      <c r="B17" s="167" t="s">
        <v>6</v>
      </c>
      <c r="C17" s="168" t="s">
        <v>96</v>
      </c>
      <c r="D17" s="168" t="s">
        <v>31</v>
      </c>
      <c r="E17" s="168" t="s">
        <v>57</v>
      </c>
      <c r="F17" s="168" t="s">
        <v>97</v>
      </c>
      <c r="G17" s="169" t="s">
        <v>100</v>
      </c>
      <c r="H17" s="52"/>
      <c r="I17" s="52"/>
      <c r="J17" s="52"/>
      <c r="K17" s="53"/>
      <c r="M17" s="51"/>
      <c r="N17" s="51"/>
      <c r="O17" s="51"/>
      <c r="P17" s="51"/>
      <c r="Q17" s="51"/>
      <c r="R17" s="51"/>
      <c r="S17" s="51"/>
      <c r="T17" s="51"/>
      <c r="U17" s="51"/>
      <c r="V17" s="51"/>
      <c r="Y17" s="55"/>
      <c r="Z17" s="55"/>
      <c r="AA17" s="55"/>
      <c r="AB17" s="55"/>
      <c r="AC17" s="56"/>
      <c r="AD17" s="56"/>
      <c r="AE17" s="56"/>
      <c r="AF17" s="56"/>
      <c r="AG17" s="56"/>
      <c r="AH17" s="56"/>
      <c r="AI17" s="56"/>
      <c r="AJ17" s="56"/>
      <c r="AK17" s="56"/>
    </row>
    <row r="18" spans="1:52" s="54" customFormat="1" ht="15.6" x14ac:dyDescent="0.3">
      <c r="A18" s="170" t="s">
        <v>99</v>
      </c>
      <c r="B18" s="171">
        <v>1</v>
      </c>
      <c r="C18" s="172">
        <v>90</v>
      </c>
      <c r="D18" s="173" t="s">
        <v>43</v>
      </c>
      <c r="E18" s="174">
        <v>16.13</v>
      </c>
      <c r="F18" s="175">
        <f>C18*E18</f>
        <v>1451.6999999999998</v>
      </c>
      <c r="G18" s="175">
        <f>F18*$B$4*$B$5</f>
        <v>26885948.543999996</v>
      </c>
      <c r="H18" s="52"/>
      <c r="I18" s="52"/>
      <c r="J18" s="52"/>
      <c r="K18" s="53"/>
      <c r="M18" s="51"/>
      <c r="N18" s="72"/>
      <c r="O18" s="51"/>
      <c r="P18" s="51"/>
      <c r="Q18" s="51"/>
      <c r="R18" s="51"/>
      <c r="S18" s="51"/>
      <c r="T18" s="51"/>
      <c r="U18" s="51"/>
      <c r="V18" s="51"/>
      <c r="Y18" s="55"/>
      <c r="Z18" s="55"/>
      <c r="AA18" s="55"/>
      <c r="AB18" s="55"/>
      <c r="AC18" s="56"/>
      <c r="AD18" s="56"/>
      <c r="AE18" s="56"/>
      <c r="AF18" s="56"/>
      <c r="AG18" s="56"/>
      <c r="AH18" s="56"/>
      <c r="AI18" s="56"/>
      <c r="AJ18" s="56"/>
      <c r="AK18" s="56"/>
    </row>
    <row r="19" spans="1:52" s="54" customFormat="1" ht="15.6" x14ac:dyDescent="0.3">
      <c r="A19" s="170" t="s">
        <v>42</v>
      </c>
      <c r="B19" s="171">
        <v>2</v>
      </c>
      <c r="C19" s="172"/>
      <c r="D19" s="176" t="s">
        <v>40</v>
      </c>
      <c r="E19" s="174">
        <v>0</v>
      </c>
      <c r="F19" s="175">
        <f t="shared" ref="F19:F20" si="0">C19*E19</f>
        <v>0</v>
      </c>
      <c r="G19" s="175">
        <f t="shared" ref="G19:G21" si="1">F19*$B$4*$B$5</f>
        <v>0</v>
      </c>
      <c r="H19" s="52"/>
      <c r="I19" s="52"/>
      <c r="J19" s="52"/>
      <c r="K19" s="53"/>
      <c r="M19" s="51"/>
      <c r="N19" s="72"/>
      <c r="O19" s="51"/>
      <c r="P19" s="51"/>
      <c r="Q19" s="51"/>
      <c r="R19" s="51"/>
      <c r="S19" s="51"/>
      <c r="T19" s="51"/>
      <c r="U19" s="51"/>
      <c r="V19" s="51"/>
      <c r="Y19" s="55"/>
      <c r="Z19" s="55"/>
      <c r="AA19" s="55"/>
      <c r="AB19" s="55"/>
      <c r="AC19" s="56"/>
      <c r="AD19" s="56"/>
      <c r="AE19" s="56"/>
      <c r="AF19" s="56"/>
      <c r="AG19" s="56"/>
      <c r="AH19" s="56"/>
      <c r="AI19" s="56"/>
      <c r="AJ19" s="56"/>
      <c r="AK19" s="56"/>
    </row>
    <row r="20" spans="1:52" s="54" customFormat="1" ht="15.6" x14ac:dyDescent="0.3">
      <c r="A20" s="170" t="s">
        <v>64</v>
      </c>
      <c r="B20" s="171">
        <v>3</v>
      </c>
      <c r="C20" s="172">
        <v>0.68</v>
      </c>
      <c r="D20" s="176" t="s">
        <v>156</v>
      </c>
      <c r="E20" s="174">
        <v>19</v>
      </c>
      <c r="F20" s="175">
        <f t="shared" si="0"/>
        <v>12.920000000000002</v>
      </c>
      <c r="G20" s="175">
        <f t="shared" si="1"/>
        <v>239282.53440000003</v>
      </c>
      <c r="H20" s="52"/>
      <c r="I20" s="52"/>
      <c r="J20" s="52"/>
      <c r="K20" s="53"/>
      <c r="M20" s="51"/>
      <c r="N20" s="72"/>
      <c r="O20" s="51"/>
      <c r="P20" s="51"/>
      <c r="Q20" s="51"/>
      <c r="R20" s="51"/>
      <c r="S20" s="51"/>
      <c r="T20" s="51"/>
      <c r="U20" s="51"/>
      <c r="V20" s="51"/>
      <c r="Y20" s="55"/>
      <c r="Z20" s="55"/>
      <c r="AA20" s="55"/>
      <c r="AB20" s="55"/>
      <c r="AC20" s="56"/>
      <c r="AD20" s="56"/>
      <c r="AE20" s="56"/>
      <c r="AF20" s="56"/>
      <c r="AG20" s="56"/>
      <c r="AH20" s="56"/>
      <c r="AI20" s="56"/>
      <c r="AJ20" s="56"/>
      <c r="AK20" s="56"/>
      <c r="AZ20" s="51"/>
    </row>
    <row r="21" spans="1:52" s="54" customFormat="1" ht="15.6" x14ac:dyDescent="0.3">
      <c r="A21" s="177"/>
      <c r="B21" s="171" t="s">
        <v>117</v>
      </c>
      <c r="C21" s="172"/>
      <c r="D21" s="176"/>
      <c r="E21" s="174"/>
      <c r="F21" s="175">
        <f t="shared" ref="F21" si="2">C21*E21</f>
        <v>0</v>
      </c>
      <c r="G21" s="175">
        <f t="shared" si="1"/>
        <v>0</v>
      </c>
      <c r="H21" s="52"/>
      <c r="I21" s="52"/>
      <c r="J21" s="52"/>
      <c r="K21" s="53"/>
      <c r="M21" s="51"/>
      <c r="N21" s="72"/>
      <c r="O21" s="51"/>
      <c r="P21" s="51"/>
      <c r="Q21" s="51"/>
      <c r="R21" s="51"/>
      <c r="S21" s="51"/>
      <c r="T21" s="51"/>
      <c r="U21" s="51"/>
      <c r="V21" s="51"/>
      <c r="Y21" s="55"/>
      <c r="Z21" s="55"/>
      <c r="AA21" s="55"/>
      <c r="AB21" s="55"/>
      <c r="AC21" s="56"/>
      <c r="AD21" s="56"/>
      <c r="AE21" s="56"/>
      <c r="AF21" s="56"/>
      <c r="AG21" s="56"/>
      <c r="AH21" s="56"/>
      <c r="AI21" s="56"/>
      <c r="AJ21" s="56"/>
      <c r="AK21" s="56"/>
      <c r="AZ21" s="51"/>
    </row>
    <row r="22" spans="1:52" s="54" customFormat="1" ht="16.2" x14ac:dyDescent="0.35">
      <c r="A22" s="178" t="s">
        <v>81</v>
      </c>
      <c r="B22" s="179"/>
      <c r="C22" s="180"/>
      <c r="D22" s="181"/>
      <c r="E22" s="182"/>
      <c r="F22" s="183">
        <f>SUM(F18:F21)</f>
        <v>1464.62</v>
      </c>
      <c r="G22" s="183">
        <f>SUM(G18:G21)</f>
        <v>27125231.078399997</v>
      </c>
      <c r="H22" s="52"/>
      <c r="I22" s="52"/>
      <c r="J22" s="52"/>
      <c r="K22" s="53"/>
      <c r="M22" s="51"/>
      <c r="N22" s="72"/>
      <c r="O22" s="51"/>
      <c r="P22" s="51"/>
      <c r="Q22" s="51"/>
      <c r="R22" s="51"/>
      <c r="S22" s="51"/>
      <c r="T22" s="51"/>
      <c r="U22" s="51"/>
      <c r="V22" s="51"/>
      <c r="Y22" s="55"/>
      <c r="Z22" s="55"/>
      <c r="AA22" s="55"/>
      <c r="AB22" s="55"/>
      <c r="AC22" s="56"/>
      <c r="AD22" s="56"/>
      <c r="AE22" s="56"/>
      <c r="AF22" s="56"/>
      <c r="AG22" s="56"/>
      <c r="AH22" s="56"/>
      <c r="AI22" s="56"/>
      <c r="AJ22" s="56"/>
      <c r="AK22" s="56"/>
      <c r="AZ22" s="51"/>
    </row>
    <row r="23" spans="1:52" s="54" customFormat="1" ht="16.2" x14ac:dyDescent="0.35">
      <c r="A23" s="184"/>
      <c r="B23" s="185"/>
      <c r="C23" s="186"/>
      <c r="D23" s="187"/>
      <c r="E23" s="188"/>
      <c r="F23" s="189"/>
      <c r="G23" s="190"/>
      <c r="H23" s="39"/>
      <c r="I23" s="53"/>
      <c r="J23" s="51"/>
      <c r="K23" s="51"/>
      <c r="L23" s="72"/>
      <c r="M23" s="51"/>
      <c r="N23" s="51"/>
      <c r="O23" s="51"/>
      <c r="P23" s="51"/>
      <c r="Q23" s="51"/>
      <c r="R23" s="51"/>
      <c r="S23" s="51"/>
      <c r="T23" s="51"/>
      <c r="W23" s="55"/>
      <c r="X23" s="55"/>
      <c r="Y23" s="55"/>
      <c r="Z23" s="55"/>
      <c r="AA23" s="56"/>
      <c r="AB23" s="56"/>
      <c r="AC23" s="56"/>
      <c r="AD23" s="56"/>
      <c r="AE23" s="56"/>
      <c r="AF23" s="56"/>
      <c r="AG23" s="56"/>
      <c r="AH23" s="56"/>
      <c r="AI23" s="56"/>
      <c r="AX23" s="51"/>
    </row>
    <row r="24" spans="1:52" s="54" customFormat="1" ht="31.8" x14ac:dyDescent="0.35">
      <c r="A24" s="166" t="s">
        <v>93</v>
      </c>
      <c r="B24" s="167" t="s">
        <v>6</v>
      </c>
      <c r="C24" s="168" t="s">
        <v>96</v>
      </c>
      <c r="D24" s="168" t="s">
        <v>31</v>
      </c>
      <c r="E24" s="168" t="s">
        <v>57</v>
      </c>
      <c r="F24" s="168" t="s">
        <v>97</v>
      </c>
      <c r="G24" s="169" t="s">
        <v>80</v>
      </c>
      <c r="H24" s="39"/>
      <c r="I24" s="53"/>
      <c r="J24" s="51"/>
      <c r="K24" s="51"/>
      <c r="L24" s="72"/>
      <c r="M24" s="51"/>
      <c r="N24" s="51"/>
      <c r="O24" s="51"/>
      <c r="P24" s="51"/>
      <c r="Q24" s="51"/>
      <c r="R24" s="51"/>
      <c r="S24" s="51"/>
      <c r="T24" s="51"/>
      <c r="W24" s="55"/>
      <c r="X24" s="55"/>
      <c r="Y24" s="55"/>
      <c r="Z24" s="55"/>
      <c r="AA24" s="56"/>
      <c r="AB24" s="56"/>
      <c r="AC24" s="56"/>
      <c r="AD24" s="56"/>
      <c r="AE24" s="56"/>
      <c r="AF24" s="56"/>
      <c r="AG24" s="56"/>
      <c r="AH24" s="56"/>
      <c r="AI24" s="56"/>
      <c r="AX24" s="51"/>
    </row>
    <row r="25" spans="1:52" s="54" customFormat="1" ht="15.6" x14ac:dyDescent="0.3">
      <c r="A25" s="177" t="s">
        <v>136</v>
      </c>
      <c r="B25" s="171">
        <v>4</v>
      </c>
      <c r="C25" s="191">
        <v>1</v>
      </c>
      <c r="D25" s="173" t="s">
        <v>41</v>
      </c>
      <c r="E25" s="174">
        <f>631</f>
        <v>631</v>
      </c>
      <c r="F25" s="175">
        <f>C25*E25</f>
        <v>631</v>
      </c>
      <c r="G25" s="175">
        <f>F25*$B$4*$B$5</f>
        <v>11686321.92</v>
      </c>
      <c r="H25" s="72"/>
      <c r="I25" s="53"/>
      <c r="J25" s="51"/>
      <c r="K25" s="51"/>
      <c r="L25" s="72"/>
      <c r="M25" s="51"/>
      <c r="N25" s="51"/>
      <c r="O25" s="51"/>
      <c r="P25" s="51"/>
      <c r="Q25" s="51"/>
      <c r="R25" s="51"/>
      <c r="S25" s="51"/>
      <c r="T25" s="51"/>
      <c r="W25" s="55"/>
      <c r="X25" s="55"/>
      <c r="Y25" s="55"/>
      <c r="Z25" s="55"/>
      <c r="AA25" s="56"/>
      <c r="AB25" s="56"/>
      <c r="AC25" s="56"/>
      <c r="AD25" s="56"/>
      <c r="AE25" s="56"/>
      <c r="AF25" s="56"/>
      <c r="AG25" s="56"/>
      <c r="AH25" s="56"/>
      <c r="AI25" s="56"/>
    </row>
    <row r="26" spans="1:52" s="54" customFormat="1" ht="15.6" x14ac:dyDescent="0.3">
      <c r="A26" s="177" t="s">
        <v>101</v>
      </c>
      <c r="B26" s="171">
        <v>5</v>
      </c>
      <c r="C26" s="191">
        <v>1</v>
      </c>
      <c r="D26" s="173" t="s">
        <v>41</v>
      </c>
      <c r="E26" s="174">
        <v>18</v>
      </c>
      <c r="F26" s="175">
        <f t="shared" ref="F26:F36" si="3">C26*E26</f>
        <v>18</v>
      </c>
      <c r="G26" s="175">
        <f t="shared" ref="G26:G51" si="4">F26*$B$4*$B$5</f>
        <v>333365.76000000001</v>
      </c>
      <c r="H26" s="72"/>
      <c r="I26" s="53"/>
      <c r="J26" s="51"/>
      <c r="K26" s="51"/>
      <c r="L26" s="72"/>
      <c r="M26" s="51"/>
      <c r="N26" s="51"/>
      <c r="O26" s="51"/>
      <c r="P26" s="51"/>
      <c r="Q26" s="51"/>
      <c r="R26" s="51"/>
      <c r="S26" s="51"/>
      <c r="T26" s="51"/>
      <c r="W26" s="55"/>
      <c r="X26" s="55"/>
      <c r="Y26" s="55"/>
      <c r="Z26" s="55"/>
      <c r="AA26" s="56"/>
      <c r="AB26" s="56"/>
      <c r="AC26" s="56"/>
      <c r="AD26" s="56"/>
      <c r="AE26" s="56"/>
      <c r="AF26" s="56"/>
      <c r="AG26" s="56"/>
      <c r="AH26" s="56"/>
      <c r="AI26" s="56"/>
    </row>
    <row r="27" spans="1:52" s="54" customFormat="1" ht="15.6" x14ac:dyDescent="0.3">
      <c r="A27" s="177" t="s">
        <v>142</v>
      </c>
      <c r="B27" s="171">
        <v>6</v>
      </c>
      <c r="C27" s="191">
        <f>257</f>
        <v>257</v>
      </c>
      <c r="D27" s="173" t="s">
        <v>43</v>
      </c>
      <c r="E27" s="174">
        <v>1.8</v>
      </c>
      <c r="F27" s="175">
        <f t="shared" si="3"/>
        <v>462.6</v>
      </c>
      <c r="G27" s="175">
        <f t="shared" si="4"/>
        <v>8567500.0320000015</v>
      </c>
      <c r="H27" s="72"/>
      <c r="I27" s="53"/>
      <c r="J27" s="51"/>
      <c r="K27" s="51"/>
      <c r="L27" s="72"/>
      <c r="M27" s="51"/>
      <c r="N27" s="51"/>
      <c r="O27" s="51"/>
      <c r="P27" s="51"/>
      <c r="Q27" s="51"/>
      <c r="R27" s="51"/>
      <c r="S27" s="51"/>
      <c r="T27" s="51"/>
      <c r="W27" s="55"/>
      <c r="X27" s="55"/>
      <c r="Y27" s="55"/>
      <c r="Z27" s="55"/>
      <c r="AA27" s="56"/>
      <c r="AB27" s="56"/>
      <c r="AC27" s="56"/>
      <c r="AD27" s="56"/>
      <c r="AE27" s="56"/>
      <c r="AF27" s="56"/>
      <c r="AG27" s="56"/>
      <c r="AH27" s="56"/>
      <c r="AI27" s="56"/>
    </row>
    <row r="28" spans="1:52" s="54" customFormat="1" ht="15.6" x14ac:dyDescent="0.3">
      <c r="A28" s="177" t="s">
        <v>143</v>
      </c>
      <c r="B28" s="171">
        <v>7</v>
      </c>
      <c r="C28" s="191"/>
      <c r="D28" s="173" t="s">
        <v>43</v>
      </c>
      <c r="E28" s="174"/>
      <c r="F28" s="175"/>
      <c r="G28" s="175"/>
      <c r="H28" s="72"/>
      <c r="I28" s="53"/>
      <c r="J28" s="51"/>
      <c r="K28" s="51"/>
      <c r="L28" s="72"/>
      <c r="M28" s="51"/>
      <c r="N28" s="51"/>
      <c r="O28" s="51"/>
      <c r="P28" s="51"/>
      <c r="Q28" s="51"/>
      <c r="R28" s="51"/>
      <c r="S28" s="51"/>
      <c r="T28" s="51"/>
      <c r="W28" s="55"/>
      <c r="X28" s="55"/>
      <c r="Y28" s="55"/>
      <c r="Z28" s="55"/>
      <c r="AA28" s="56"/>
      <c r="AB28" s="56"/>
      <c r="AC28" s="56"/>
      <c r="AD28" s="56"/>
      <c r="AE28" s="56"/>
      <c r="AF28" s="56"/>
      <c r="AG28" s="56"/>
      <c r="AH28" s="56"/>
      <c r="AI28" s="56"/>
    </row>
    <row r="29" spans="1:52" s="54" customFormat="1" ht="15.6" x14ac:dyDescent="0.3">
      <c r="A29" s="177" t="s">
        <v>102</v>
      </c>
      <c r="B29" s="171">
        <v>8</v>
      </c>
      <c r="C29" s="191">
        <v>1</v>
      </c>
      <c r="D29" s="173" t="s">
        <v>40</v>
      </c>
      <c r="E29" s="174">
        <v>5.5</v>
      </c>
      <c r="F29" s="175">
        <f t="shared" si="3"/>
        <v>5.5</v>
      </c>
      <c r="G29" s="175">
        <f t="shared" si="4"/>
        <v>101861.75999999999</v>
      </c>
      <c r="H29" s="72"/>
      <c r="I29" s="53"/>
      <c r="J29" s="51"/>
      <c r="K29" s="51"/>
      <c r="L29" s="72"/>
      <c r="M29" s="51"/>
      <c r="N29" s="51"/>
      <c r="O29" s="51"/>
      <c r="P29" s="51"/>
      <c r="Q29" s="51"/>
      <c r="R29" s="51"/>
      <c r="S29" s="51"/>
      <c r="T29" s="51"/>
      <c r="W29" s="55"/>
      <c r="X29" s="55"/>
      <c r="Y29" s="55"/>
      <c r="Z29" s="55"/>
      <c r="AA29" s="56"/>
      <c r="AB29" s="56"/>
      <c r="AC29" s="56"/>
      <c r="AD29" s="56"/>
      <c r="AE29" s="56"/>
      <c r="AF29" s="56"/>
      <c r="AG29" s="56"/>
      <c r="AH29" s="56"/>
      <c r="AI29" s="56"/>
    </row>
    <row r="30" spans="1:52" s="54" customFormat="1" ht="31.2" x14ac:dyDescent="0.3">
      <c r="A30" s="177" t="s">
        <v>103</v>
      </c>
      <c r="B30" s="171">
        <v>9</v>
      </c>
      <c r="C30" s="191">
        <f>Blad1!E10</f>
        <v>1.08</v>
      </c>
      <c r="D30" s="173" t="s">
        <v>43</v>
      </c>
      <c r="E30" s="174">
        <f>((E25+(E25*0.05))*0.012)</f>
        <v>7.9505999999999997</v>
      </c>
      <c r="F30" s="175">
        <f t="shared" si="3"/>
        <v>8.5866480000000003</v>
      </c>
      <c r="G30" s="175">
        <f t="shared" si="4"/>
        <v>159027.46868736</v>
      </c>
      <c r="H30" s="72"/>
      <c r="I30" s="53"/>
      <c r="J30" s="51"/>
      <c r="K30" s="51"/>
      <c r="L30" s="72"/>
      <c r="M30" s="51"/>
      <c r="N30" s="51"/>
      <c r="O30" s="51"/>
      <c r="P30" s="51"/>
      <c r="Q30" s="51"/>
      <c r="R30" s="51"/>
      <c r="S30" s="51"/>
      <c r="T30" s="51"/>
      <c r="W30" s="55"/>
      <c r="X30" s="55"/>
      <c r="Y30" s="55"/>
      <c r="Z30" s="55"/>
      <c r="AA30" s="56"/>
      <c r="AB30" s="56"/>
      <c r="AC30" s="56"/>
      <c r="AD30" s="56"/>
      <c r="AE30" s="56"/>
      <c r="AF30" s="56"/>
      <c r="AG30" s="56"/>
      <c r="AH30" s="56"/>
      <c r="AI30" s="56"/>
    </row>
    <row r="31" spans="1:52" s="54" customFormat="1" ht="15.6" x14ac:dyDescent="0.3">
      <c r="A31" s="177" t="s">
        <v>44</v>
      </c>
      <c r="B31" s="171">
        <v>10</v>
      </c>
      <c r="C31" s="191">
        <v>7</v>
      </c>
      <c r="D31" s="173" t="s">
        <v>43</v>
      </c>
      <c r="E31" s="174">
        <v>0.45</v>
      </c>
      <c r="F31" s="175">
        <f t="shared" si="3"/>
        <v>3.15</v>
      </c>
      <c r="G31" s="175">
        <f t="shared" si="4"/>
        <v>58339.007999999994</v>
      </c>
      <c r="H31" s="72"/>
      <c r="I31" s="53"/>
      <c r="J31" s="51"/>
      <c r="K31" s="51"/>
      <c r="L31" s="72"/>
      <c r="M31" s="51"/>
      <c r="N31" s="51"/>
      <c r="O31" s="51"/>
      <c r="P31" s="51"/>
      <c r="Q31" s="51"/>
      <c r="R31" s="51"/>
      <c r="S31" s="51"/>
      <c r="T31" s="51"/>
      <c r="W31" s="55"/>
      <c r="X31" s="55"/>
      <c r="Y31" s="55"/>
      <c r="Z31" s="55"/>
      <c r="AA31" s="56"/>
      <c r="AB31" s="56"/>
      <c r="AC31" s="56"/>
      <c r="AD31" s="56"/>
      <c r="AE31" s="56"/>
      <c r="AF31" s="56"/>
      <c r="AG31" s="56"/>
      <c r="AH31" s="56"/>
      <c r="AI31" s="56"/>
    </row>
    <row r="32" spans="1:52" s="54" customFormat="1" ht="15.6" x14ac:dyDescent="0.3">
      <c r="A32" s="177" t="s">
        <v>45</v>
      </c>
      <c r="B32" s="171">
        <v>11</v>
      </c>
      <c r="C32" s="191">
        <v>15</v>
      </c>
      <c r="D32" s="173" t="s">
        <v>46</v>
      </c>
      <c r="E32" s="174">
        <v>0.63</v>
      </c>
      <c r="F32" s="175">
        <f t="shared" si="3"/>
        <v>9.4499999999999993</v>
      </c>
      <c r="G32" s="175">
        <f t="shared" si="4"/>
        <v>175017.02399999998</v>
      </c>
      <c r="H32" s="72"/>
      <c r="I32" s="53"/>
      <c r="J32" s="51"/>
      <c r="K32" s="51"/>
      <c r="L32" s="72"/>
      <c r="M32" s="51"/>
      <c r="N32" s="51"/>
      <c r="O32" s="51"/>
      <c r="P32" s="51"/>
      <c r="Q32" s="51"/>
      <c r="R32" s="51"/>
      <c r="S32" s="51"/>
      <c r="T32" s="51"/>
      <c r="W32" s="55"/>
      <c r="X32" s="55"/>
      <c r="Y32" s="55"/>
      <c r="Z32" s="55"/>
      <c r="AA32" s="56"/>
      <c r="AB32" s="56"/>
      <c r="AC32" s="56"/>
      <c r="AD32" s="56"/>
      <c r="AE32" s="56"/>
      <c r="AF32" s="56"/>
      <c r="AG32" s="56"/>
      <c r="AH32" s="56"/>
      <c r="AI32" s="56"/>
    </row>
    <row r="33" spans="1:36" s="54" customFormat="1" ht="15.6" x14ac:dyDescent="0.3">
      <c r="A33" s="177" t="s">
        <v>104</v>
      </c>
      <c r="B33" s="171">
        <v>12</v>
      </c>
      <c r="C33" s="191">
        <v>1</v>
      </c>
      <c r="D33" s="173" t="s">
        <v>40</v>
      </c>
      <c r="E33" s="174">
        <v>6</v>
      </c>
      <c r="F33" s="175">
        <f>C33*E33</f>
        <v>6</v>
      </c>
      <c r="G33" s="175">
        <f>F33*$B$4*$B$5</f>
        <v>111121.92</v>
      </c>
      <c r="H33" s="72"/>
      <c r="I33" s="53"/>
      <c r="J33" s="51"/>
      <c r="K33" s="51"/>
      <c r="L33" s="72"/>
      <c r="M33" s="51"/>
      <c r="N33" s="51"/>
      <c r="O33" s="51"/>
      <c r="P33" s="51"/>
      <c r="Q33" s="51"/>
      <c r="R33" s="51"/>
      <c r="S33" s="51"/>
      <c r="T33" s="51"/>
      <c r="W33" s="55"/>
      <c r="X33" s="55"/>
      <c r="Y33" s="55"/>
      <c r="Z33" s="55"/>
      <c r="AA33" s="56"/>
      <c r="AB33" s="56"/>
      <c r="AC33" s="56"/>
      <c r="AD33" s="56"/>
      <c r="AE33" s="56"/>
      <c r="AF33" s="56"/>
      <c r="AG33" s="56"/>
      <c r="AH33" s="56"/>
      <c r="AI33" s="56"/>
    </row>
    <row r="34" spans="1:36" s="54" customFormat="1" ht="15.6" x14ac:dyDescent="0.3">
      <c r="A34" s="177" t="s">
        <v>47</v>
      </c>
      <c r="B34" s="171">
        <v>13</v>
      </c>
      <c r="C34" s="191">
        <v>1</v>
      </c>
      <c r="D34" s="173" t="s">
        <v>40</v>
      </c>
      <c r="E34" s="174">
        <v>1.1000000000000001</v>
      </c>
      <c r="F34" s="175">
        <f>C34*E34</f>
        <v>1.1000000000000001</v>
      </c>
      <c r="G34" s="175">
        <f>F34*$B$4*$B$5</f>
        <v>20372.352000000003</v>
      </c>
      <c r="H34" s="72"/>
      <c r="I34" s="53"/>
      <c r="J34" s="51"/>
      <c r="K34" s="51"/>
      <c r="L34" s="72"/>
      <c r="M34" s="51"/>
      <c r="N34" s="51"/>
      <c r="O34" s="51"/>
      <c r="P34" s="51"/>
      <c r="Q34" s="51"/>
      <c r="R34" s="51"/>
      <c r="S34" s="51"/>
      <c r="T34" s="51"/>
      <c r="W34" s="55"/>
      <c r="X34" s="55"/>
      <c r="Y34" s="55"/>
      <c r="Z34" s="55"/>
      <c r="AA34" s="56"/>
      <c r="AB34" s="56"/>
      <c r="AC34" s="56"/>
      <c r="AD34" s="56"/>
      <c r="AE34" s="56"/>
      <c r="AF34" s="56"/>
      <c r="AG34" s="56"/>
      <c r="AH34" s="56"/>
      <c r="AI34" s="56"/>
    </row>
    <row r="35" spans="1:36" s="54" customFormat="1" ht="31.2" x14ac:dyDescent="0.3">
      <c r="A35" s="177" t="s">
        <v>79</v>
      </c>
      <c r="B35" s="171">
        <v>14</v>
      </c>
      <c r="C35" s="191">
        <v>1</v>
      </c>
      <c r="D35" s="173" t="s">
        <v>40</v>
      </c>
      <c r="E35" s="174">
        <v>1.1000000000000001</v>
      </c>
      <c r="F35" s="175">
        <f t="shared" si="3"/>
        <v>1.1000000000000001</v>
      </c>
      <c r="G35" s="175">
        <f t="shared" si="4"/>
        <v>20372.352000000003</v>
      </c>
      <c r="H35" s="72"/>
      <c r="I35" s="53"/>
      <c r="J35" s="51"/>
      <c r="K35" s="51"/>
      <c r="L35" s="72"/>
      <c r="M35" s="51"/>
      <c r="N35" s="51"/>
      <c r="O35" s="51"/>
      <c r="P35" s="51"/>
      <c r="Q35" s="51"/>
      <c r="R35" s="51"/>
      <c r="S35" s="51"/>
      <c r="T35" s="51"/>
      <c r="W35" s="55"/>
      <c r="X35" s="55"/>
      <c r="Y35" s="55"/>
      <c r="Z35" s="55"/>
      <c r="AA35" s="56"/>
      <c r="AB35" s="56"/>
      <c r="AC35" s="56"/>
      <c r="AD35" s="56"/>
      <c r="AE35" s="56"/>
      <c r="AF35" s="56"/>
      <c r="AG35" s="56"/>
      <c r="AH35" s="56"/>
      <c r="AI35" s="56"/>
    </row>
    <row r="36" spans="1:36" s="54" customFormat="1" ht="15.6" x14ac:dyDescent="0.3">
      <c r="A36" s="177" t="s">
        <v>115</v>
      </c>
      <c r="B36" s="171">
        <v>15</v>
      </c>
      <c r="C36" s="191">
        <v>1</v>
      </c>
      <c r="D36" s="173" t="s">
        <v>40</v>
      </c>
      <c r="E36" s="174">
        <v>7</v>
      </c>
      <c r="F36" s="175">
        <f t="shared" si="3"/>
        <v>7</v>
      </c>
      <c r="G36" s="175">
        <f t="shared" si="4"/>
        <v>129642.24000000001</v>
      </c>
      <c r="H36" s="72"/>
      <c r="I36" s="53"/>
      <c r="J36" s="51"/>
      <c r="K36" s="51"/>
      <c r="L36" s="72"/>
      <c r="M36" s="51"/>
      <c r="N36" s="51"/>
      <c r="O36" s="51"/>
      <c r="P36" s="51"/>
      <c r="Q36" s="51"/>
      <c r="R36" s="51"/>
      <c r="S36" s="51"/>
      <c r="T36" s="51"/>
      <c r="W36" s="55"/>
      <c r="X36" s="55"/>
      <c r="Y36" s="55"/>
      <c r="Z36" s="55"/>
      <c r="AA36" s="56"/>
      <c r="AB36" s="56"/>
      <c r="AC36" s="56"/>
      <c r="AD36" s="56"/>
      <c r="AE36" s="56"/>
      <c r="AF36" s="56"/>
      <c r="AG36" s="56"/>
      <c r="AH36" s="56"/>
      <c r="AI36" s="56"/>
    </row>
    <row r="37" spans="1:36" s="54" customFormat="1" ht="15.6" x14ac:dyDescent="0.3">
      <c r="A37" s="177" t="s">
        <v>58</v>
      </c>
      <c r="B37" s="171">
        <v>16</v>
      </c>
      <c r="C37" s="191"/>
      <c r="D37" s="173" t="s">
        <v>40</v>
      </c>
      <c r="E37" s="174"/>
      <c r="F37" s="175"/>
      <c r="G37" s="175"/>
      <c r="H37" s="72"/>
      <c r="I37" s="53"/>
      <c r="J37" s="51"/>
      <c r="K37" s="51"/>
      <c r="L37" s="72"/>
      <c r="M37" s="51"/>
      <c r="N37" s="51"/>
      <c r="O37" s="51"/>
      <c r="P37" s="51"/>
      <c r="Q37" s="51"/>
      <c r="R37" s="51"/>
      <c r="S37" s="51"/>
      <c r="T37" s="51"/>
      <c r="W37" s="55"/>
      <c r="X37" s="55"/>
      <c r="Y37" s="55"/>
      <c r="Z37" s="55"/>
      <c r="AA37" s="56"/>
      <c r="AB37" s="56"/>
      <c r="AC37" s="56"/>
      <c r="AD37" s="56"/>
      <c r="AE37" s="56"/>
      <c r="AF37" s="56"/>
      <c r="AG37" s="56"/>
      <c r="AH37" s="56"/>
      <c r="AI37" s="56"/>
    </row>
    <row r="38" spans="1:36" s="54" customFormat="1" ht="16.2" x14ac:dyDescent="0.35">
      <c r="A38" s="192"/>
      <c r="B38" s="193" t="s">
        <v>48</v>
      </c>
      <c r="C38" s="194"/>
      <c r="D38" s="193"/>
      <c r="E38" s="195"/>
      <c r="F38" s="183">
        <f>SUM(F25:F37)</f>
        <v>1153.4866479999998</v>
      </c>
      <c r="G38" s="196">
        <f>F38*$B$4*$B$5</f>
        <v>21362941.83668736</v>
      </c>
      <c r="H38" s="72"/>
      <c r="I38" s="53"/>
      <c r="J38" s="51"/>
      <c r="K38" s="51"/>
      <c r="L38" s="72"/>
      <c r="M38" s="51"/>
      <c r="N38" s="51"/>
      <c r="O38" s="51"/>
      <c r="P38" s="51"/>
      <c r="Q38" s="51"/>
      <c r="R38" s="51"/>
      <c r="S38" s="51"/>
      <c r="T38" s="51"/>
      <c r="W38" s="55"/>
      <c r="X38" s="55"/>
      <c r="Y38" s="55"/>
      <c r="Z38" s="55"/>
      <c r="AA38" s="56"/>
      <c r="AB38" s="56"/>
      <c r="AC38" s="56"/>
      <c r="AD38" s="56"/>
      <c r="AE38" s="56"/>
      <c r="AF38" s="56"/>
      <c r="AG38" s="56"/>
      <c r="AH38" s="56"/>
      <c r="AI38" s="56"/>
    </row>
    <row r="39" spans="1:36" s="54" customFormat="1" ht="15.6" x14ac:dyDescent="0.3">
      <c r="A39" s="170" t="s">
        <v>113</v>
      </c>
      <c r="B39" s="185"/>
      <c r="C39" s="197">
        <v>0.4</v>
      </c>
      <c r="D39" s="198" t="s">
        <v>56</v>
      </c>
      <c r="E39" s="199">
        <f>Investeringskalkyl!$F$71/B5</f>
        <v>1550.8516051558504</v>
      </c>
      <c r="F39" s="175">
        <f>C39/100*E39</f>
        <v>6.2034064206234021</v>
      </c>
      <c r="G39" s="175">
        <f t="shared" si="4"/>
        <v>114889.07200000001</v>
      </c>
      <c r="H39" s="72"/>
      <c r="I39" s="53"/>
      <c r="J39" s="51"/>
      <c r="K39" s="51"/>
      <c r="L39" s="72"/>
      <c r="M39" s="51"/>
      <c r="N39" s="51"/>
      <c r="O39" s="51"/>
      <c r="P39" s="51"/>
      <c r="Q39" s="51"/>
      <c r="R39" s="51"/>
      <c r="S39" s="51"/>
      <c r="T39" s="51"/>
      <c r="W39" s="55"/>
      <c r="X39" s="55"/>
      <c r="Y39" s="55"/>
      <c r="Z39" s="55"/>
      <c r="AA39" s="56"/>
      <c r="AB39" s="56"/>
      <c r="AC39" s="56"/>
      <c r="AD39" s="56"/>
      <c r="AE39" s="56"/>
      <c r="AF39" s="56"/>
      <c r="AG39" s="56"/>
      <c r="AH39" s="56"/>
      <c r="AI39" s="56"/>
    </row>
    <row r="40" spans="1:36" s="54" customFormat="1" ht="15.6" x14ac:dyDescent="0.3">
      <c r="A40" s="170" t="s">
        <v>49</v>
      </c>
      <c r="B40" s="200" t="s">
        <v>65</v>
      </c>
      <c r="C40" s="201">
        <f>($E$25+$E$26)/$B$5</f>
        <v>174.93261455525607</v>
      </c>
      <c r="D40" s="198" t="s">
        <v>40</v>
      </c>
      <c r="E40" s="202">
        <v>0.05</v>
      </c>
      <c r="F40" s="175">
        <f t="shared" ref="F40:F41" si="5">C40*E40</f>
        <v>8.7466307277628044</v>
      </c>
      <c r="G40" s="175">
        <f t="shared" si="4"/>
        <v>161990.40000000002</v>
      </c>
      <c r="H40" s="72"/>
      <c r="I40" s="53"/>
      <c r="J40" s="51"/>
      <c r="K40" s="51"/>
      <c r="L40" s="72"/>
      <c r="M40" s="51"/>
      <c r="N40" s="51"/>
      <c r="O40" s="51"/>
      <c r="P40" s="51"/>
      <c r="Q40" s="51"/>
      <c r="R40" s="51"/>
      <c r="S40" s="51"/>
      <c r="T40" s="51"/>
      <c r="W40" s="55"/>
      <c r="X40" s="55"/>
      <c r="Y40" s="55"/>
      <c r="Z40" s="55"/>
      <c r="AA40" s="56"/>
      <c r="AB40" s="56"/>
      <c r="AC40" s="56"/>
      <c r="AD40" s="56"/>
      <c r="AE40" s="56"/>
      <c r="AF40" s="56"/>
      <c r="AG40" s="56"/>
      <c r="AH40" s="56"/>
      <c r="AI40" s="56"/>
    </row>
    <row r="41" spans="1:36" s="54" customFormat="1" ht="15.6" x14ac:dyDescent="0.3">
      <c r="A41" s="170" t="s">
        <v>105</v>
      </c>
      <c r="B41" s="200" t="s">
        <v>65</v>
      </c>
      <c r="C41" s="201">
        <f>(($F$38-$F$25-$F$26)+SUM(F45:F49))/2</f>
        <v>277.33015831952656</v>
      </c>
      <c r="D41" s="198" t="s">
        <v>40</v>
      </c>
      <c r="E41" s="202">
        <v>0.05</v>
      </c>
      <c r="F41" s="175">
        <f t="shared" si="5"/>
        <v>13.866507915976328</v>
      </c>
      <c r="G41" s="175">
        <f t="shared" si="4"/>
        <v>256812.16388641472</v>
      </c>
      <c r="H41" s="72"/>
      <c r="I41" s="72"/>
      <c r="J41" s="53"/>
      <c r="K41" s="51"/>
      <c r="L41" s="51"/>
      <c r="M41" s="72"/>
      <c r="N41" s="51"/>
      <c r="O41" s="51"/>
      <c r="P41" s="51"/>
      <c r="Q41" s="51"/>
      <c r="R41" s="51"/>
      <c r="S41" s="51"/>
      <c r="T41" s="51"/>
      <c r="U41" s="51"/>
      <c r="X41" s="55"/>
      <c r="Y41" s="55"/>
      <c r="Z41" s="55"/>
      <c r="AA41" s="55"/>
      <c r="AB41" s="56"/>
      <c r="AC41" s="56"/>
      <c r="AD41" s="56"/>
      <c r="AE41" s="56"/>
      <c r="AF41" s="56"/>
      <c r="AG41" s="56"/>
      <c r="AH41" s="56"/>
      <c r="AI41" s="56"/>
      <c r="AJ41" s="56"/>
    </row>
    <row r="42" spans="1:36" s="54" customFormat="1" ht="15.6" x14ac:dyDescent="0.3">
      <c r="A42" s="177"/>
      <c r="B42" s="203"/>
      <c r="C42" s="191"/>
      <c r="D42" s="176"/>
      <c r="E42" s="204"/>
      <c r="F42" s="175"/>
      <c r="G42" s="175"/>
      <c r="H42" s="72"/>
      <c r="I42" s="53"/>
      <c r="J42" s="51"/>
      <c r="K42" s="51"/>
      <c r="L42" s="72"/>
      <c r="M42" s="51"/>
      <c r="N42" s="51"/>
      <c r="O42" s="51"/>
      <c r="P42" s="51"/>
      <c r="Q42" s="51"/>
      <c r="R42" s="51"/>
      <c r="S42" s="51"/>
      <c r="T42" s="51"/>
      <c r="W42" s="55"/>
      <c r="X42" s="55"/>
      <c r="Y42" s="55"/>
      <c r="Z42" s="55"/>
      <c r="AA42" s="56"/>
      <c r="AB42" s="56"/>
      <c r="AC42" s="56"/>
      <c r="AD42" s="56"/>
      <c r="AE42" s="56"/>
      <c r="AF42" s="56"/>
      <c r="AG42" s="56"/>
      <c r="AH42" s="56"/>
      <c r="AI42" s="56"/>
    </row>
    <row r="43" spans="1:36" s="54" customFormat="1" ht="16.2" x14ac:dyDescent="0.35">
      <c r="A43" s="205"/>
      <c r="B43" s="193" t="s">
        <v>50</v>
      </c>
      <c r="C43" s="206" t="s">
        <v>39</v>
      </c>
      <c r="D43" s="193"/>
      <c r="E43" s="195" t="s">
        <v>39</v>
      </c>
      <c r="F43" s="183">
        <f>SUM(F39:F42)</f>
        <v>28.816545064362536</v>
      </c>
      <c r="G43" s="196">
        <f>F43*$B$4*$B$5</f>
        <v>533691.63588641479</v>
      </c>
      <c r="H43" s="72"/>
      <c r="I43" s="53"/>
      <c r="J43" s="51"/>
      <c r="K43" s="51"/>
      <c r="L43" s="72"/>
      <c r="M43" s="51"/>
      <c r="N43" s="51"/>
      <c r="O43" s="51"/>
      <c r="P43" s="51"/>
      <c r="Q43" s="51"/>
      <c r="R43" s="51"/>
      <c r="S43" s="51"/>
      <c r="T43" s="51"/>
      <c r="W43" s="55"/>
      <c r="X43" s="55"/>
      <c r="Y43" s="55"/>
      <c r="Z43" s="55"/>
      <c r="AA43" s="56"/>
      <c r="AB43" s="56"/>
      <c r="AC43" s="56"/>
      <c r="AD43" s="56"/>
      <c r="AE43" s="56"/>
      <c r="AF43" s="56"/>
      <c r="AG43" s="56"/>
      <c r="AH43" s="56"/>
      <c r="AI43" s="56"/>
    </row>
    <row r="44" spans="1:36" s="54" customFormat="1" ht="15.6" x14ac:dyDescent="0.3">
      <c r="A44" s="170" t="s">
        <v>51</v>
      </c>
      <c r="B44" s="200" t="s">
        <v>65</v>
      </c>
      <c r="C44" s="207">
        <f>IF(Investeringskalkyl!$C$14="slaktgrisar",1,0)</f>
        <v>1</v>
      </c>
      <c r="D44" s="208" t="s">
        <v>40</v>
      </c>
      <c r="E44" s="209">
        <f>Investeringskalkyl!$F$72*(Investeringskalkyl!$B$23/(1-(1+Investeringskalkyl!$B$23)^(-Investeringskalkyl!$B$26)))/$B$5</f>
        <v>143.17021840414759</v>
      </c>
      <c r="F44" s="175">
        <f>C44*E44</f>
        <v>143.17021840414759</v>
      </c>
      <c r="G44" s="175">
        <f t="shared" si="4"/>
        <v>2651558.2593147024</v>
      </c>
      <c r="H44" s="72"/>
      <c r="I44" s="53"/>
      <c r="J44" s="51"/>
      <c r="K44" s="51"/>
      <c r="L44" s="72"/>
      <c r="M44" s="51"/>
      <c r="N44" s="51"/>
      <c r="O44" s="51"/>
      <c r="P44" s="51"/>
      <c r="Q44" s="51"/>
      <c r="R44" s="51"/>
      <c r="S44" s="51"/>
      <c r="T44" s="51"/>
      <c r="W44" s="55"/>
      <c r="X44" s="55"/>
      <c r="Y44" s="55"/>
      <c r="Z44" s="55"/>
      <c r="AA44" s="56"/>
      <c r="AB44" s="56"/>
      <c r="AC44" s="56"/>
      <c r="AD44" s="56"/>
      <c r="AE44" s="56"/>
      <c r="AF44" s="56"/>
      <c r="AG44" s="56"/>
      <c r="AH44" s="56"/>
      <c r="AI44" s="56"/>
    </row>
    <row r="45" spans="1:36" s="54" customFormat="1" ht="15.6" x14ac:dyDescent="0.3">
      <c r="A45" s="177" t="s">
        <v>60</v>
      </c>
      <c r="B45" s="171">
        <v>17</v>
      </c>
      <c r="C45" s="191">
        <v>1</v>
      </c>
      <c r="D45" s="173" t="s">
        <v>40</v>
      </c>
      <c r="E45" s="210">
        <v>4</v>
      </c>
      <c r="F45" s="175">
        <f t="shared" ref="F45:F48" si="6">C45*E45</f>
        <v>4</v>
      </c>
      <c r="G45" s="175">
        <f t="shared" si="4"/>
        <v>74081.279999999999</v>
      </c>
      <c r="H45" s="72"/>
      <c r="I45" s="53"/>
      <c r="J45" s="51"/>
      <c r="K45" s="51"/>
      <c r="L45" s="72"/>
      <c r="M45" s="51"/>
      <c r="N45" s="51"/>
      <c r="O45" s="51"/>
      <c r="P45" s="51"/>
      <c r="Q45" s="51"/>
      <c r="R45" s="51"/>
      <c r="S45" s="51"/>
      <c r="T45" s="51"/>
      <c r="W45" s="55"/>
      <c r="X45" s="55"/>
      <c r="Y45" s="55"/>
      <c r="Z45" s="55"/>
      <c r="AA45" s="56"/>
      <c r="AB45" s="56"/>
      <c r="AC45" s="56"/>
      <c r="AD45" s="56"/>
      <c r="AE45" s="56"/>
      <c r="AF45" s="56"/>
      <c r="AG45" s="56"/>
      <c r="AH45" s="56"/>
      <c r="AI45" s="56"/>
    </row>
    <row r="46" spans="1:36" s="54" customFormat="1" ht="15.6" x14ac:dyDescent="0.3">
      <c r="A46" s="177" t="s">
        <v>61</v>
      </c>
      <c r="B46" s="171">
        <v>18</v>
      </c>
      <c r="C46" s="191">
        <v>1</v>
      </c>
      <c r="D46" s="173" t="s">
        <v>40</v>
      </c>
      <c r="E46" s="211">
        <v>2</v>
      </c>
      <c r="F46" s="175">
        <f t="shared" si="6"/>
        <v>2</v>
      </c>
      <c r="G46" s="175">
        <f t="shared" si="4"/>
        <v>37040.639999999999</v>
      </c>
      <c r="H46" s="51"/>
      <c r="I46" s="53"/>
      <c r="J46" s="53"/>
      <c r="K46" s="51"/>
      <c r="L46" s="72"/>
      <c r="M46" s="51"/>
      <c r="N46" s="51"/>
      <c r="O46" s="51"/>
      <c r="P46" s="51"/>
      <c r="Q46" s="51"/>
      <c r="R46" s="51"/>
      <c r="S46" s="51"/>
      <c r="T46" s="51"/>
      <c r="W46" s="55"/>
      <c r="X46" s="55"/>
      <c r="Y46" s="55"/>
      <c r="Z46" s="55"/>
      <c r="AA46" s="56"/>
      <c r="AB46" s="56"/>
      <c r="AC46" s="56"/>
      <c r="AD46" s="56"/>
      <c r="AE46" s="56"/>
      <c r="AF46" s="56"/>
      <c r="AG46" s="56"/>
      <c r="AH46" s="56"/>
      <c r="AI46" s="56"/>
    </row>
    <row r="47" spans="1:36" s="54" customFormat="1" ht="15.6" x14ac:dyDescent="0.3">
      <c r="A47" s="177" t="s">
        <v>55</v>
      </c>
      <c r="B47" s="212">
        <v>19</v>
      </c>
      <c r="C47" s="197">
        <v>0.18</v>
      </c>
      <c r="D47" s="173" t="s">
        <v>52</v>
      </c>
      <c r="E47" s="174">
        <v>230</v>
      </c>
      <c r="F47" s="175">
        <f t="shared" si="6"/>
        <v>41.4</v>
      </c>
      <c r="G47" s="175">
        <f t="shared" si="4"/>
        <v>766741.24799999991</v>
      </c>
      <c r="H47" s="72"/>
      <c r="I47" s="53"/>
      <c r="J47" s="51"/>
      <c r="K47" s="51"/>
      <c r="L47" s="72"/>
      <c r="M47" s="51"/>
      <c r="N47" s="51"/>
      <c r="O47" s="51"/>
      <c r="P47" s="51"/>
      <c r="Q47" s="51"/>
      <c r="R47" s="51"/>
      <c r="S47" s="51"/>
      <c r="T47" s="51"/>
      <c r="W47" s="55"/>
      <c r="X47" s="55"/>
      <c r="Y47" s="55"/>
      <c r="Z47" s="55"/>
      <c r="AA47" s="56"/>
      <c r="AB47" s="56"/>
      <c r="AC47" s="56"/>
      <c r="AD47" s="56"/>
      <c r="AE47" s="56"/>
      <c r="AF47" s="56"/>
      <c r="AG47" s="56"/>
      <c r="AH47" s="56"/>
      <c r="AI47" s="56"/>
    </row>
    <row r="48" spans="1:36" s="54" customFormat="1" ht="15.6" x14ac:dyDescent="0.3">
      <c r="A48" s="177" t="s">
        <v>94</v>
      </c>
      <c r="B48" s="171">
        <v>20</v>
      </c>
      <c r="C48" s="191">
        <f>200/Blad1!E7</f>
        <v>1.1556952662721892E-2</v>
      </c>
      <c r="D48" s="173" t="s">
        <v>52</v>
      </c>
      <c r="E48" s="174">
        <v>240</v>
      </c>
      <c r="F48" s="175">
        <f t="shared" si="6"/>
        <v>2.7736686390532541</v>
      </c>
      <c r="G48" s="175">
        <f t="shared" si="4"/>
        <v>51369.230769230759</v>
      </c>
      <c r="H48" s="72"/>
      <c r="I48" s="53"/>
      <c r="J48" s="51"/>
      <c r="K48" s="51"/>
      <c r="L48" s="72"/>
      <c r="M48" s="51"/>
      <c r="N48" s="51"/>
      <c r="O48" s="51"/>
      <c r="P48" s="51"/>
      <c r="Q48" s="51"/>
      <c r="R48" s="51"/>
      <c r="S48" s="51"/>
      <c r="T48" s="51"/>
      <c r="W48" s="55"/>
      <c r="X48" s="55"/>
      <c r="Y48" s="55"/>
      <c r="Z48" s="55"/>
      <c r="AA48" s="56"/>
      <c r="AB48" s="56"/>
      <c r="AC48" s="56"/>
      <c r="AD48" s="56"/>
      <c r="AE48" s="56"/>
      <c r="AF48" s="56"/>
      <c r="AG48" s="56"/>
      <c r="AH48" s="56"/>
      <c r="AI48" s="56"/>
    </row>
    <row r="49" spans="1:37" s="54" customFormat="1" ht="15.6" x14ac:dyDescent="0.3">
      <c r="A49" s="177"/>
      <c r="B49" s="171"/>
      <c r="C49" s="191"/>
      <c r="D49" s="173"/>
      <c r="E49" s="174"/>
      <c r="F49" s="175"/>
      <c r="G49" s="175"/>
      <c r="H49" s="72"/>
      <c r="I49" s="53"/>
      <c r="J49" s="51"/>
      <c r="K49" s="51"/>
      <c r="L49" s="72"/>
      <c r="M49" s="51"/>
      <c r="N49" s="51"/>
      <c r="O49" s="51"/>
      <c r="P49" s="51"/>
      <c r="Q49" s="51"/>
      <c r="R49" s="51"/>
      <c r="S49" s="51"/>
      <c r="T49" s="51"/>
      <c r="W49" s="55"/>
      <c r="X49" s="55"/>
      <c r="Y49" s="55"/>
      <c r="Z49" s="55"/>
      <c r="AA49" s="56"/>
      <c r="AB49" s="56"/>
      <c r="AC49" s="56"/>
      <c r="AD49" s="56"/>
      <c r="AE49" s="56"/>
      <c r="AF49" s="56"/>
      <c r="AG49" s="56"/>
      <c r="AH49" s="56"/>
      <c r="AI49" s="56"/>
    </row>
    <row r="50" spans="1:37" s="54" customFormat="1" ht="16.2" x14ac:dyDescent="0.35">
      <c r="A50" s="213"/>
      <c r="B50" s="193" t="s">
        <v>53</v>
      </c>
      <c r="C50" s="194"/>
      <c r="D50" s="193"/>
      <c r="E50" s="214"/>
      <c r="F50" s="183">
        <f>SUM(F44:F49)</f>
        <v>193.34388704320085</v>
      </c>
      <c r="G50" s="196">
        <f>F50*$B$4*$B$5</f>
        <v>3580790.6580839334</v>
      </c>
      <c r="H50" s="51"/>
      <c r="I50" s="53"/>
      <c r="J50" s="53"/>
      <c r="K50" s="51"/>
      <c r="L50" s="72"/>
      <c r="M50" s="51"/>
      <c r="N50" s="51"/>
      <c r="O50" s="51"/>
      <c r="P50" s="51"/>
      <c r="Q50" s="51"/>
      <c r="R50" s="51"/>
      <c r="S50" s="51"/>
      <c r="T50" s="51"/>
      <c r="W50" s="55"/>
      <c r="X50" s="55"/>
      <c r="Y50" s="55"/>
      <c r="Z50" s="55"/>
      <c r="AA50" s="56"/>
      <c r="AB50" s="56"/>
      <c r="AC50" s="56"/>
      <c r="AD50" s="56"/>
      <c r="AE50" s="56"/>
      <c r="AF50" s="56"/>
      <c r="AG50" s="56"/>
      <c r="AH50" s="56"/>
      <c r="AI50" s="56"/>
    </row>
    <row r="51" spans="1:37" s="54" customFormat="1" ht="16.2" x14ac:dyDescent="0.35">
      <c r="A51" s="192" t="s">
        <v>66</v>
      </c>
      <c r="B51" s="193"/>
      <c r="C51" s="194"/>
      <c r="D51" s="193"/>
      <c r="E51" s="214"/>
      <c r="F51" s="183">
        <f>$F$38+$F$43+$F$50</f>
        <v>1375.6470801075632</v>
      </c>
      <c r="G51" s="196">
        <f t="shared" si="4"/>
        <v>25477424.130657703</v>
      </c>
      <c r="H51" s="51"/>
      <c r="I51" s="53"/>
      <c r="J51" s="53"/>
      <c r="K51" s="51"/>
      <c r="L51" s="72"/>
      <c r="M51" s="51"/>
      <c r="N51" s="51"/>
      <c r="O51" s="51"/>
      <c r="P51" s="51"/>
      <c r="Q51" s="51"/>
      <c r="R51" s="51"/>
      <c r="S51" s="51"/>
      <c r="T51" s="51"/>
      <c r="W51" s="55"/>
      <c r="X51" s="55"/>
      <c r="Y51" s="55"/>
      <c r="Z51" s="55"/>
      <c r="AA51" s="56"/>
      <c r="AB51" s="56"/>
      <c r="AC51" s="56"/>
      <c r="AD51" s="56"/>
      <c r="AE51" s="56"/>
      <c r="AF51" s="56"/>
      <c r="AG51" s="56"/>
      <c r="AH51" s="56"/>
      <c r="AI51" s="56"/>
    </row>
    <row r="52" spans="1:37" s="54" customFormat="1" x14ac:dyDescent="0.25">
      <c r="A52" s="38"/>
      <c r="B52" s="51"/>
      <c r="C52" s="51"/>
      <c r="D52" s="51"/>
      <c r="E52" s="51"/>
      <c r="F52" s="45"/>
      <c r="G52" s="45"/>
      <c r="H52" s="51"/>
      <c r="I52" s="53"/>
      <c r="J52" s="53"/>
      <c r="K52" s="51"/>
      <c r="L52" s="72"/>
      <c r="M52" s="51"/>
      <c r="N52" s="51"/>
      <c r="O52" s="51"/>
      <c r="P52" s="51"/>
      <c r="Q52" s="51"/>
      <c r="R52" s="51"/>
      <c r="S52" s="51"/>
      <c r="T52" s="51"/>
      <c r="W52" s="55"/>
      <c r="X52" s="55"/>
      <c r="Y52" s="55"/>
      <c r="Z52" s="55"/>
      <c r="AA52" s="56"/>
      <c r="AB52" s="56"/>
      <c r="AC52" s="56"/>
      <c r="AD52" s="56"/>
      <c r="AE52" s="56"/>
      <c r="AF52" s="56"/>
      <c r="AG52" s="56"/>
      <c r="AH52" s="56"/>
      <c r="AI52" s="56"/>
    </row>
    <row r="53" spans="1:37" s="54" customFormat="1" x14ac:dyDescent="0.25">
      <c r="A53" s="73"/>
      <c r="C53" s="51"/>
      <c r="D53" s="51"/>
      <c r="E53" s="74"/>
      <c r="F53" s="39">
        <f>F22-F51</f>
        <v>88.972919892436721</v>
      </c>
      <c r="G53" s="75"/>
      <c r="H53" s="76"/>
      <c r="I53" s="76"/>
      <c r="J53" s="51"/>
      <c r="K53" s="53"/>
      <c r="L53" s="53"/>
      <c r="M53" s="53"/>
      <c r="N53" s="72"/>
      <c r="O53" s="51"/>
      <c r="P53" s="51"/>
      <c r="Q53" s="51"/>
      <c r="R53" s="51"/>
      <c r="S53" s="51"/>
      <c r="T53" s="51"/>
      <c r="U53" s="51"/>
      <c r="V53" s="51"/>
      <c r="Y53" s="55"/>
      <c r="Z53" s="55"/>
      <c r="AA53" s="55"/>
      <c r="AB53" s="55"/>
      <c r="AC53" s="56"/>
      <c r="AD53" s="56"/>
      <c r="AE53" s="56"/>
      <c r="AF53" s="56"/>
      <c r="AG53" s="56"/>
      <c r="AH53" s="56"/>
      <c r="AI53" s="56"/>
      <c r="AJ53" s="56"/>
      <c r="AK53" s="56"/>
    </row>
    <row r="54" spans="1:37" s="54" customFormat="1" x14ac:dyDescent="0.25">
      <c r="A54" s="73"/>
      <c r="C54" s="51"/>
      <c r="D54" s="51"/>
      <c r="E54" s="74"/>
      <c r="G54" s="51"/>
      <c r="H54" s="77"/>
      <c r="I54" s="76"/>
      <c r="J54" s="51"/>
      <c r="K54" s="53"/>
      <c r="L54" s="53"/>
      <c r="M54" s="53"/>
      <c r="N54" s="72"/>
      <c r="O54" s="51"/>
      <c r="P54" s="51"/>
      <c r="Q54" s="51"/>
      <c r="R54" s="51"/>
      <c r="S54" s="51"/>
      <c r="T54" s="51"/>
      <c r="U54" s="51"/>
      <c r="V54" s="51"/>
      <c r="Y54" s="55"/>
      <c r="Z54" s="55"/>
      <c r="AA54" s="55"/>
      <c r="AB54" s="55"/>
      <c r="AC54" s="56"/>
      <c r="AD54" s="56"/>
      <c r="AE54" s="56"/>
      <c r="AF54" s="56"/>
      <c r="AG54" s="56"/>
      <c r="AH54" s="56"/>
      <c r="AI54" s="56"/>
      <c r="AJ54" s="56"/>
      <c r="AK54" s="56"/>
    </row>
    <row r="55" spans="1:37" s="54" customFormat="1" x14ac:dyDescent="0.25">
      <c r="A55" s="73"/>
      <c r="C55" s="51"/>
      <c r="D55" s="51"/>
      <c r="E55" s="74"/>
      <c r="G55" s="51"/>
      <c r="H55" s="77"/>
      <c r="I55" s="76"/>
      <c r="J55" s="51"/>
      <c r="K55" s="53"/>
      <c r="L55" s="53"/>
      <c r="M55" s="53"/>
      <c r="N55" s="72"/>
      <c r="O55" s="51"/>
      <c r="P55" s="51"/>
      <c r="Q55" s="51"/>
      <c r="R55" s="51"/>
      <c r="S55" s="51"/>
      <c r="T55" s="51"/>
      <c r="U55" s="51"/>
      <c r="V55" s="51"/>
      <c r="Y55" s="55"/>
      <c r="Z55" s="55"/>
      <c r="AA55" s="55"/>
      <c r="AB55" s="55"/>
      <c r="AC55" s="56"/>
      <c r="AD55" s="56"/>
      <c r="AE55" s="56"/>
      <c r="AF55" s="56"/>
      <c r="AG55" s="56"/>
      <c r="AH55" s="56"/>
      <c r="AI55" s="56"/>
      <c r="AJ55" s="56"/>
      <c r="AK55" s="56"/>
    </row>
    <row r="56" spans="1:37" s="54" customFormat="1" x14ac:dyDescent="0.25">
      <c r="A56" s="73"/>
      <c r="C56" s="51">
        <f>0.18*4992*3.72</f>
        <v>3342.6432</v>
      </c>
      <c r="D56" s="51"/>
      <c r="E56" s="74"/>
      <c r="G56" s="51"/>
      <c r="H56" s="76"/>
      <c r="I56" s="76"/>
      <c r="J56" s="51"/>
      <c r="K56" s="53"/>
      <c r="L56" s="53"/>
      <c r="M56" s="53"/>
      <c r="N56" s="72"/>
      <c r="O56" s="51"/>
      <c r="P56" s="51"/>
      <c r="Q56" s="51"/>
      <c r="R56" s="51"/>
      <c r="S56" s="51"/>
      <c r="T56" s="51"/>
      <c r="U56" s="51"/>
      <c r="V56" s="51"/>
      <c r="Y56" s="55"/>
      <c r="Z56" s="55"/>
      <c r="AA56" s="55"/>
      <c r="AB56" s="55"/>
      <c r="AC56" s="56"/>
      <c r="AD56" s="56"/>
      <c r="AE56" s="56"/>
      <c r="AF56" s="56"/>
      <c r="AG56" s="56"/>
      <c r="AH56" s="56"/>
      <c r="AI56" s="56"/>
      <c r="AJ56" s="56"/>
      <c r="AK56" s="56"/>
    </row>
    <row r="57" spans="1:37" s="54" customFormat="1" x14ac:dyDescent="0.25">
      <c r="A57" s="73"/>
      <c r="C57" s="51">
        <f>C56/1800</f>
        <v>1.857024</v>
      </c>
      <c r="D57" s="51"/>
      <c r="E57" s="74"/>
      <c r="G57" s="74"/>
      <c r="H57" s="76"/>
      <c r="I57" s="76"/>
      <c r="J57" s="51"/>
      <c r="K57" s="53"/>
      <c r="L57" s="53"/>
      <c r="M57" s="53"/>
      <c r="N57" s="72"/>
      <c r="O57" s="51"/>
      <c r="P57" s="51"/>
      <c r="Q57" s="51"/>
      <c r="R57" s="51"/>
      <c r="S57" s="51"/>
      <c r="T57" s="51"/>
      <c r="U57" s="51"/>
      <c r="V57" s="51"/>
      <c r="Y57" s="55"/>
      <c r="Z57" s="55"/>
      <c r="AA57" s="55"/>
      <c r="AB57" s="55"/>
      <c r="AC57" s="56"/>
      <c r="AD57" s="56"/>
      <c r="AE57" s="56"/>
      <c r="AF57" s="56"/>
      <c r="AG57" s="56"/>
      <c r="AH57" s="56"/>
      <c r="AI57" s="56"/>
      <c r="AJ57" s="56"/>
      <c r="AK57" s="56"/>
    </row>
    <row r="58" spans="1:37" s="54" customFormat="1" x14ac:dyDescent="0.25">
      <c r="A58" s="73"/>
      <c r="C58" s="51"/>
      <c r="D58" s="51"/>
      <c r="E58" s="74"/>
      <c r="G58" s="74"/>
      <c r="H58" s="53"/>
      <c r="I58" s="53"/>
      <c r="J58" s="72"/>
      <c r="K58" s="51"/>
      <c r="L58" s="51"/>
      <c r="M58" s="51"/>
      <c r="N58" s="51"/>
      <c r="O58" s="51"/>
      <c r="P58" s="51"/>
      <c r="Q58" s="51"/>
      <c r="R58" s="51"/>
      <c r="U58" s="55"/>
      <c r="V58" s="55"/>
      <c r="W58" s="55"/>
      <c r="X58" s="55"/>
      <c r="Y58" s="56"/>
      <c r="Z58" s="56"/>
      <c r="AA58" s="56"/>
      <c r="AB58" s="56"/>
      <c r="AC58" s="56"/>
      <c r="AD58" s="56"/>
      <c r="AE58" s="56"/>
      <c r="AF58" s="56"/>
      <c r="AG58" s="56"/>
    </row>
    <row r="59" spans="1:37" s="54" customFormat="1" x14ac:dyDescent="0.25">
      <c r="A59" s="73"/>
      <c r="C59" s="51"/>
      <c r="D59" s="51"/>
      <c r="E59" s="74"/>
      <c r="G59" s="74"/>
      <c r="H59" s="53"/>
      <c r="I59" s="53"/>
      <c r="J59" s="72"/>
      <c r="K59" s="51"/>
      <c r="L59" s="51"/>
      <c r="M59" s="51"/>
      <c r="N59" s="51"/>
      <c r="O59" s="51"/>
      <c r="P59" s="51"/>
      <c r="Q59" s="51"/>
      <c r="R59" s="51"/>
      <c r="U59" s="55"/>
      <c r="V59" s="55"/>
      <c r="W59" s="55"/>
      <c r="X59" s="55"/>
      <c r="Y59" s="56"/>
      <c r="Z59" s="56"/>
      <c r="AA59" s="56"/>
      <c r="AB59" s="56"/>
      <c r="AC59" s="56"/>
      <c r="AD59" s="56"/>
      <c r="AE59" s="56"/>
      <c r="AF59" s="56"/>
      <c r="AG59" s="56"/>
    </row>
    <row r="60" spans="1:37" s="54" customFormat="1" x14ac:dyDescent="0.25">
      <c r="C60" s="51"/>
      <c r="D60" s="51"/>
      <c r="E60" s="74"/>
      <c r="G60" s="74"/>
      <c r="H60" s="53"/>
      <c r="I60" s="53"/>
      <c r="J60" s="72"/>
      <c r="K60" s="51"/>
      <c r="L60" s="51"/>
      <c r="M60" s="51"/>
      <c r="N60" s="51"/>
      <c r="O60" s="51"/>
      <c r="P60" s="51"/>
      <c r="Q60" s="51"/>
      <c r="R60" s="51"/>
      <c r="U60" s="55"/>
      <c r="V60" s="55"/>
      <c r="W60" s="55"/>
      <c r="X60" s="55"/>
      <c r="Y60" s="56"/>
      <c r="Z60" s="56"/>
      <c r="AA60" s="56"/>
      <c r="AB60" s="56"/>
      <c r="AC60" s="56"/>
      <c r="AD60" s="56"/>
      <c r="AE60" s="56"/>
      <c r="AF60" s="56"/>
      <c r="AG60" s="56"/>
    </row>
    <row r="61" spans="1:37" s="54" customFormat="1" x14ac:dyDescent="0.25">
      <c r="C61" s="51"/>
      <c r="D61" s="51"/>
      <c r="E61" s="74"/>
      <c r="G61" s="74"/>
      <c r="H61" s="53"/>
      <c r="I61" s="53"/>
      <c r="J61" s="72"/>
      <c r="K61" s="51"/>
      <c r="L61" s="51"/>
      <c r="M61" s="51"/>
      <c r="N61" s="51"/>
      <c r="O61" s="51"/>
      <c r="P61" s="51"/>
      <c r="Q61" s="51"/>
      <c r="R61" s="51"/>
      <c r="U61" s="55"/>
      <c r="V61" s="55"/>
      <c r="W61" s="55"/>
      <c r="X61" s="55"/>
      <c r="Y61" s="56"/>
      <c r="Z61" s="56"/>
      <c r="AA61" s="56"/>
      <c r="AB61" s="56"/>
      <c r="AC61" s="56"/>
      <c r="AD61" s="56"/>
    </row>
    <row r="62" spans="1:37" s="54" customFormat="1" x14ac:dyDescent="0.25">
      <c r="C62" s="51"/>
      <c r="D62" s="51"/>
      <c r="E62" s="74"/>
      <c r="G62" s="74"/>
      <c r="H62" s="53"/>
      <c r="I62" s="53"/>
      <c r="J62" s="72"/>
      <c r="K62" s="51"/>
      <c r="L62" s="51"/>
      <c r="M62" s="51"/>
      <c r="N62" s="51"/>
      <c r="O62" s="51"/>
      <c r="P62" s="51"/>
      <c r="Q62" s="51"/>
      <c r="R62" s="51"/>
      <c r="U62" s="55"/>
      <c r="V62" s="55"/>
      <c r="W62" s="55"/>
      <c r="X62" s="55"/>
      <c r="Y62" s="56"/>
      <c r="Z62" s="56"/>
      <c r="AA62" s="56"/>
      <c r="AB62" s="56"/>
      <c r="AC62" s="56"/>
      <c r="AD62" s="56"/>
    </row>
    <row r="63" spans="1:37" s="54" customFormat="1" x14ac:dyDescent="0.25">
      <c r="C63" s="51"/>
      <c r="D63" s="51"/>
      <c r="E63" s="74"/>
      <c r="G63" s="51"/>
      <c r="H63" s="53"/>
      <c r="I63" s="53"/>
      <c r="J63" s="72"/>
      <c r="K63" s="51"/>
      <c r="L63" s="51"/>
      <c r="M63" s="51"/>
      <c r="N63" s="51"/>
      <c r="O63" s="51"/>
      <c r="P63" s="51"/>
      <c r="Q63" s="51"/>
      <c r="R63" s="51"/>
      <c r="U63" s="55"/>
      <c r="V63" s="55"/>
      <c r="W63" s="55"/>
      <c r="X63" s="55"/>
      <c r="Y63" s="56"/>
      <c r="Z63" s="56"/>
      <c r="AA63" s="56"/>
      <c r="AB63" s="56"/>
      <c r="AC63" s="56"/>
      <c r="AD63" s="56"/>
    </row>
    <row r="64" spans="1:37" x14ac:dyDescent="0.25">
      <c r="C64" s="51"/>
      <c r="D64" s="51"/>
      <c r="E64" s="74"/>
      <c r="F64" s="54"/>
      <c r="G64" s="51"/>
    </row>
    <row r="65" spans="2:7" x14ac:dyDescent="0.25">
      <c r="C65" s="51"/>
      <c r="D65" s="51"/>
      <c r="E65" s="74"/>
      <c r="F65" s="54"/>
      <c r="G65" s="51"/>
    </row>
    <row r="66" spans="2:7" x14ac:dyDescent="0.25">
      <c r="B66" s="78"/>
    </row>
    <row r="67" spans="2:7" x14ac:dyDescent="0.25">
      <c r="B67" s="78"/>
    </row>
    <row r="68" spans="2:7" x14ac:dyDescent="0.25">
      <c r="B68" s="78"/>
    </row>
  </sheetData>
  <mergeCells count="1">
    <mergeCell ref="A11:B11"/>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5"/>
  <sheetViews>
    <sheetView workbookViewId="0">
      <selection activeCell="J22" sqref="J22"/>
    </sheetView>
  </sheetViews>
  <sheetFormatPr defaultRowHeight="14.4" x14ac:dyDescent="0.3"/>
  <cols>
    <col min="7" max="7" width="16.44140625" customWidth="1"/>
  </cols>
  <sheetData>
    <row r="2" spans="2:11" x14ac:dyDescent="0.3">
      <c r="B2" t="s">
        <v>157</v>
      </c>
      <c r="F2" s="81">
        <f>I21</f>
        <v>3.4666666666666668</v>
      </c>
    </row>
    <row r="3" spans="2:11" x14ac:dyDescent="0.3">
      <c r="C3" t="s">
        <v>138</v>
      </c>
    </row>
    <row r="4" spans="2:11" x14ac:dyDescent="0.3">
      <c r="C4" t="s">
        <v>154</v>
      </c>
    </row>
    <row r="5" spans="2:11" x14ac:dyDescent="0.3">
      <c r="C5" t="s">
        <v>137</v>
      </c>
    </row>
    <row r="7" spans="2:11" x14ac:dyDescent="0.3">
      <c r="B7" t="s">
        <v>132</v>
      </c>
      <c r="E7">
        <f>F2*4992</f>
        <v>17305.600000000002</v>
      </c>
    </row>
    <row r="8" spans="2:11" x14ac:dyDescent="0.3">
      <c r="B8" t="s">
        <v>133</v>
      </c>
      <c r="D8" s="80">
        <v>0.01</v>
      </c>
      <c r="E8">
        <f>E7*0.012</f>
        <v>207.66720000000004</v>
      </c>
    </row>
    <row r="9" spans="2:11" x14ac:dyDescent="0.3">
      <c r="B9" t="s">
        <v>134</v>
      </c>
      <c r="D9">
        <v>90</v>
      </c>
      <c r="E9" t="s">
        <v>43</v>
      </c>
    </row>
    <row r="10" spans="2:11" x14ac:dyDescent="0.3">
      <c r="B10" t="s">
        <v>135</v>
      </c>
      <c r="E10">
        <f>(E8*D9)/E7</f>
        <v>1.08</v>
      </c>
    </row>
    <row r="11" spans="2:11" x14ac:dyDescent="0.3">
      <c r="E11">
        <f>200/E7</f>
        <v>1.1556952662721892E-2</v>
      </c>
    </row>
    <row r="12" spans="2:11" x14ac:dyDescent="0.3">
      <c r="H12">
        <v>1.93</v>
      </c>
      <c r="I12" t="s">
        <v>141</v>
      </c>
      <c r="J12" t="s">
        <v>139</v>
      </c>
      <c r="K12" t="s">
        <v>140</v>
      </c>
    </row>
    <row r="13" spans="2:11" x14ac:dyDescent="0.3">
      <c r="H13">
        <v>1.75</v>
      </c>
      <c r="I13" t="s">
        <v>141</v>
      </c>
    </row>
    <row r="14" spans="2:11" x14ac:dyDescent="0.3">
      <c r="H14">
        <v>1.85</v>
      </c>
      <c r="I14" t="s">
        <v>141</v>
      </c>
    </row>
    <row r="16" spans="2:11" x14ac:dyDescent="0.3">
      <c r="G16" t="s">
        <v>151</v>
      </c>
      <c r="H16">
        <v>1200</v>
      </c>
      <c r="I16">
        <v>1100</v>
      </c>
      <c r="J16">
        <v>1000</v>
      </c>
      <c r="K16">
        <v>950</v>
      </c>
    </row>
    <row r="17" spans="3:14" x14ac:dyDescent="0.3">
      <c r="G17">
        <f>125-30</f>
        <v>95</v>
      </c>
      <c r="H17" s="83">
        <f>G17/1.2</f>
        <v>79.166666666666671</v>
      </c>
      <c r="I17" s="82">
        <f>G17/1.1</f>
        <v>86.36363636363636</v>
      </c>
      <c r="J17">
        <v>95</v>
      </c>
      <c r="K17">
        <f>G17/0.95</f>
        <v>100</v>
      </c>
    </row>
    <row r="18" spans="3:14" x14ac:dyDescent="0.3">
      <c r="C18" t="s">
        <v>144</v>
      </c>
      <c r="D18">
        <v>30</v>
      </c>
      <c r="H18">
        <v>84</v>
      </c>
      <c r="I18">
        <v>91</v>
      </c>
      <c r="J18">
        <v>100</v>
      </c>
      <c r="K18">
        <v>105</v>
      </c>
    </row>
    <row r="19" spans="3:14" x14ac:dyDescent="0.3">
      <c r="C19" t="s">
        <v>145</v>
      </c>
      <c r="D19">
        <v>90</v>
      </c>
      <c r="N19">
        <f>5/7</f>
        <v>0.7142857142857143</v>
      </c>
    </row>
    <row r="20" spans="3:14" x14ac:dyDescent="0.3">
      <c r="C20" t="s">
        <v>146</v>
      </c>
      <c r="D20">
        <v>125</v>
      </c>
      <c r="H20">
        <f>84/7</f>
        <v>12</v>
      </c>
      <c r="I20">
        <f>91/7</f>
        <v>13</v>
      </c>
      <c r="J20" s="83">
        <f>100/7</f>
        <v>14.285714285714286</v>
      </c>
      <c r="K20">
        <f>105/7</f>
        <v>15</v>
      </c>
    </row>
    <row r="21" spans="3:14" x14ac:dyDescent="0.3">
      <c r="H21" s="82">
        <f>52/14</f>
        <v>3.7142857142857144</v>
      </c>
      <c r="I21" s="82">
        <f>52/15</f>
        <v>3.4666666666666668</v>
      </c>
      <c r="J21" s="82">
        <f>52/(14.3+0.71)</f>
        <v>3.4643570952698197</v>
      </c>
      <c r="K21" s="82">
        <f>52/15.71</f>
        <v>3.3099936346276255</v>
      </c>
    </row>
    <row r="22" spans="3:14" x14ac:dyDescent="0.3">
      <c r="C22" t="s">
        <v>147</v>
      </c>
      <c r="D22">
        <v>1100</v>
      </c>
      <c r="E22" t="s">
        <v>43</v>
      </c>
    </row>
    <row r="23" spans="3:14" x14ac:dyDescent="0.3">
      <c r="C23" t="s">
        <v>148</v>
      </c>
      <c r="D23">
        <f>95/1.1</f>
        <v>86.36363636363636</v>
      </c>
    </row>
    <row r="25" spans="3:14" x14ac:dyDescent="0.3">
      <c r="C25">
        <v>13.9</v>
      </c>
      <c r="D25"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Intro</vt:lpstr>
      <vt:lpstr>Investeringskalkyl</vt:lpstr>
      <vt:lpstr>Driftkalkyl - Slaktgrisar</vt:lpstr>
      <vt:lpstr>Blad1</vt:lpstr>
    </vt:vector>
  </TitlesOfParts>
  <Company>Jordbruksverket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Fjertorp</dc:creator>
  <cp:lastModifiedBy>Jonas Fjertorp</cp:lastModifiedBy>
  <cp:lastPrinted>2016-06-13T14:16:34Z</cp:lastPrinted>
  <dcterms:created xsi:type="dcterms:W3CDTF">2016-06-01T07:08:09Z</dcterms:created>
  <dcterms:modified xsi:type="dcterms:W3CDTF">2018-01-24T13:11:38Z</dcterms:modified>
</cp:coreProperties>
</file>