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Avdelning\Landsbygdsavdelningen\6.Landsbygdsutvecklingsenheten\Konkurrenskraft\Kompetensutveckling\Upphandlingar\Stalltävling 2016\Publicering\Lamm - Hushållningsällskapet\"/>
    </mc:Choice>
  </mc:AlternateContent>
  <bookViews>
    <workbookView xWindow="0" yWindow="60" windowWidth="12588" windowHeight="9036" tabRatio="800" activeTab="2"/>
  </bookViews>
  <sheets>
    <sheet name="Intro" sheetId="9" r:id="rId1"/>
    <sheet name="Investeringskalkyl" sheetId="1" r:id="rId2"/>
    <sheet name="Driftkalkyl - Lamm" sheetId="5" r:id="rId3"/>
    <sheet name="Blad10" sheetId="10" r:id="rId4"/>
    <sheet name="Blad2" sheetId="13" r:id="rId5"/>
    <sheet name="Blad1" sheetId="12" r:id="rId6"/>
  </sheets>
  <definedNames>
    <definedName name="blue_a2">#REF!</definedName>
    <definedName name="Djurslag">Blad10!$A$3:$A$8</definedName>
    <definedName name="pristyp">#REF!</definedName>
    <definedName name="prodstorlek">#REF!</definedName>
    <definedName name="stodomrade">#REF!</definedName>
    <definedName name="Välj_djurslag">Blad10!$A$2:$A$8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5" i="1" l="1"/>
  <c r="F57" i="1"/>
  <c r="W59" i="1"/>
  <c r="C18" i="5" l="1"/>
  <c r="C19" i="5" s="1"/>
  <c r="F58" i="1"/>
  <c r="F56" i="1"/>
  <c r="F29" i="5" l="1"/>
  <c r="G29" i="5" l="1"/>
  <c r="F52" i="5" l="1"/>
  <c r="E54" i="1" l="1"/>
  <c r="B15" i="1"/>
  <c r="E53" i="1" l="1"/>
  <c r="K37" i="13" l="1"/>
  <c r="M37" i="13" s="1"/>
  <c r="F50" i="5" l="1"/>
  <c r="F55" i="5" l="1"/>
  <c r="G55" i="5" s="1"/>
  <c r="E44" i="13"/>
  <c r="G8" i="13"/>
  <c r="E38" i="13"/>
  <c r="E39" i="13"/>
  <c r="E42" i="13" s="1"/>
  <c r="F42" i="13" s="1"/>
  <c r="E41" i="13"/>
  <c r="F46" i="5"/>
  <c r="G46" i="5" s="1"/>
  <c r="F45" i="5"/>
  <c r="G45" i="5"/>
  <c r="F44" i="5" l="1"/>
  <c r="E37" i="13"/>
  <c r="F37" i="13" s="1"/>
  <c r="E36" i="13"/>
  <c r="E46" i="13" s="1"/>
  <c r="F46" i="13" s="1"/>
  <c r="D30" i="13"/>
  <c r="B26" i="13"/>
  <c r="D31" i="13" s="1"/>
  <c r="B16" i="13"/>
  <c r="B14" i="13"/>
  <c r="B12" i="13"/>
  <c r="B9" i="13"/>
  <c r="B10" i="13" s="1"/>
  <c r="B6" i="13"/>
  <c r="B5" i="13"/>
  <c r="B19" i="13" l="1"/>
  <c r="C19" i="13" s="1"/>
  <c r="E26" i="13"/>
  <c r="D32" i="13"/>
  <c r="E31" i="13" s="1"/>
  <c r="H27" i="13" l="1"/>
  <c r="G26" i="13"/>
  <c r="H26" i="13" s="1"/>
  <c r="G50" i="5"/>
  <c r="F64" i="5" l="1"/>
  <c r="G64" i="5" s="1"/>
  <c r="F26" i="5"/>
  <c r="F24" i="5"/>
  <c r="G24" i="5" s="1"/>
  <c r="G26" i="5" l="1"/>
  <c r="F37" i="5"/>
  <c r="G37" i="5" s="1"/>
  <c r="F31" i="5"/>
  <c r="G31" i="5" s="1"/>
  <c r="V11" i="12"/>
  <c r="Q11" i="12"/>
  <c r="X11" i="12" s="1"/>
  <c r="Y11" i="12" s="1"/>
  <c r="H11" i="12" s="1"/>
  <c r="I11" i="12" s="1"/>
  <c r="K11" i="12" s="1"/>
  <c r="W10" i="12"/>
  <c r="U10" i="12"/>
  <c r="F8" i="12" s="1"/>
  <c r="Q10" i="12"/>
  <c r="X10" i="12" s="1"/>
  <c r="Y10" i="12" s="1"/>
  <c r="H8" i="12" s="1"/>
  <c r="E25" i="5" s="1"/>
  <c r="O10" i="12"/>
  <c r="T10" i="12" s="1"/>
  <c r="I44" i="12"/>
  <c r="J44" i="12" s="1"/>
  <c r="I42" i="12"/>
  <c r="J42" i="12" s="1"/>
  <c r="I41" i="12"/>
  <c r="K41" i="12" s="1"/>
  <c r="I40" i="12"/>
  <c r="J40" i="12" s="1"/>
  <c r="I39" i="12"/>
  <c r="K39" i="12" s="1"/>
  <c r="I38" i="12"/>
  <c r="J38" i="12" s="1"/>
  <c r="F37" i="12"/>
  <c r="I35" i="12"/>
  <c r="K35" i="12" s="1"/>
  <c r="H34" i="12"/>
  <c r="H33" i="12"/>
  <c r="F33" i="12"/>
  <c r="I30" i="12"/>
  <c r="K30" i="12" s="1"/>
  <c r="I29" i="12"/>
  <c r="J29" i="12" s="1"/>
  <c r="I28" i="12"/>
  <c r="K28" i="12" s="1"/>
  <c r="I27" i="12"/>
  <c r="K27" i="12" s="1"/>
  <c r="I26" i="12"/>
  <c r="K26" i="12" s="1"/>
  <c r="I25" i="12"/>
  <c r="J25" i="12" s="1"/>
  <c r="I24" i="12"/>
  <c r="K24" i="12" s="1"/>
  <c r="I23" i="12"/>
  <c r="K23" i="12" s="1"/>
  <c r="I22" i="12"/>
  <c r="K22" i="12" s="1"/>
  <c r="I21" i="12"/>
  <c r="J21" i="12" s="1"/>
  <c r="I20" i="12"/>
  <c r="K20" i="12" s="1"/>
  <c r="I19" i="12"/>
  <c r="K19" i="12" s="1"/>
  <c r="F18" i="12"/>
  <c r="I18" i="12" s="1"/>
  <c r="I13" i="12"/>
  <c r="J13" i="12" s="1"/>
  <c r="I12" i="12"/>
  <c r="J12" i="12" s="1"/>
  <c r="I7" i="12"/>
  <c r="J7" i="12" s="1"/>
  <c r="I6" i="12"/>
  <c r="K6" i="12" s="1"/>
  <c r="I5" i="12"/>
  <c r="K5" i="12" s="1"/>
  <c r="F4" i="12"/>
  <c r="I4" i="12" s="1"/>
  <c r="F3" i="12"/>
  <c r="I3" i="12" s="1"/>
  <c r="C25" i="5" l="1"/>
  <c r="C38" i="5" s="1"/>
  <c r="I8" i="12"/>
  <c r="K8" i="12" s="1"/>
  <c r="F34" i="12"/>
  <c r="I34" i="12" s="1"/>
  <c r="J39" i="12"/>
  <c r="J6" i="12"/>
  <c r="J8" i="12"/>
  <c r="K12" i="12"/>
  <c r="J26" i="12"/>
  <c r="J22" i="12"/>
  <c r="J41" i="12"/>
  <c r="J30" i="12"/>
  <c r="K7" i="12"/>
  <c r="K13" i="12"/>
  <c r="J20" i="12"/>
  <c r="J24" i="12"/>
  <c r="J28" i="12"/>
  <c r="I33" i="12"/>
  <c r="K33" i="12" s="1"/>
  <c r="J35" i="12"/>
  <c r="K38" i="12"/>
  <c r="K42" i="12"/>
  <c r="K21" i="12"/>
  <c r="K25" i="12"/>
  <c r="K29" i="12"/>
  <c r="K4" i="12"/>
  <c r="J4" i="12"/>
  <c r="J34" i="12"/>
  <c r="K34" i="12"/>
  <c r="K3" i="12"/>
  <c r="K15" i="12" s="1"/>
  <c r="J3" i="12"/>
  <c r="J15" i="12" s="1"/>
  <c r="I15" i="12"/>
  <c r="K18" i="12"/>
  <c r="J18" i="12"/>
  <c r="I31" i="12"/>
  <c r="K40" i="12"/>
  <c r="K44" i="12"/>
  <c r="J5" i="12"/>
  <c r="J11" i="12"/>
  <c r="J19" i="12"/>
  <c r="J23" i="12"/>
  <c r="J27" i="12"/>
  <c r="J33" i="12" l="1"/>
  <c r="K31" i="12"/>
  <c r="J31" i="12"/>
  <c r="E57" i="5" l="1"/>
  <c r="E56" i="5"/>
  <c r="C69" i="1"/>
  <c r="B4" i="5" l="1"/>
  <c r="H29" i="5" s="1"/>
  <c r="H55" i="5" l="1"/>
  <c r="H45" i="5"/>
  <c r="H46" i="5"/>
  <c r="H50" i="5"/>
  <c r="H64" i="5"/>
  <c r="H24" i="5"/>
  <c r="H26" i="5"/>
  <c r="H31" i="5"/>
  <c r="H37" i="5"/>
  <c r="F39" i="5"/>
  <c r="G39" i="5" s="1"/>
  <c r="H39" i="5" l="1"/>
  <c r="C56" i="5" l="1"/>
  <c r="F43" i="5" l="1"/>
  <c r="H43" i="5" s="1"/>
  <c r="F20" i="5"/>
  <c r="G20" i="5" s="1"/>
  <c r="F22" i="5"/>
  <c r="F19" i="5"/>
  <c r="G19" i="5" s="1"/>
  <c r="F18" i="5"/>
  <c r="F66" i="5"/>
  <c r="H66" i="5" s="1"/>
  <c r="F65" i="5"/>
  <c r="H65" i="5" s="1"/>
  <c r="F63" i="5"/>
  <c r="F62" i="5"/>
  <c r="G62" i="5" s="1"/>
  <c r="F61" i="5"/>
  <c r="H61" i="5" s="1"/>
  <c r="F58" i="5"/>
  <c r="H58" i="5" s="1"/>
  <c r="F56" i="5"/>
  <c r="F51" i="5"/>
  <c r="H51" i="5" s="1"/>
  <c r="F49" i="5"/>
  <c r="H49" i="5" s="1"/>
  <c r="F48" i="5"/>
  <c r="F47" i="5"/>
  <c r="G47" i="5" s="1"/>
  <c r="H44" i="5"/>
  <c r="F42" i="5"/>
  <c r="G42" i="5" s="1"/>
  <c r="F41" i="5"/>
  <c r="H41" i="5" s="1"/>
  <c r="F38" i="5"/>
  <c r="H38" i="5" s="1"/>
  <c r="F36" i="5"/>
  <c r="G36" i="5" s="1"/>
  <c r="F30" i="5"/>
  <c r="H30" i="5" s="1"/>
  <c r="F28" i="5"/>
  <c r="G28" i="5" s="1"/>
  <c r="F27" i="5"/>
  <c r="H27" i="5" s="1"/>
  <c r="F25" i="5"/>
  <c r="H25" i="5" s="1"/>
  <c r="F23" i="5"/>
  <c r="G23" i="5" s="1"/>
  <c r="H22" i="5" l="1"/>
  <c r="G48" i="5"/>
  <c r="H52" i="5"/>
  <c r="G43" i="5"/>
  <c r="G22" i="5"/>
  <c r="H63" i="5"/>
  <c r="C10" i="5" s="1"/>
  <c r="H18" i="5"/>
  <c r="F32" i="5"/>
  <c r="H20" i="5"/>
  <c r="H23" i="5"/>
  <c r="G27" i="5"/>
  <c r="H47" i="5"/>
  <c r="H19" i="5"/>
  <c r="G61" i="5"/>
  <c r="H48" i="5"/>
  <c r="H28" i="5"/>
  <c r="H42" i="5"/>
  <c r="G41" i="5"/>
  <c r="H62" i="5"/>
  <c r="G66" i="5"/>
  <c r="H36" i="5"/>
  <c r="G56" i="5"/>
  <c r="H56" i="5"/>
  <c r="G18" i="5"/>
  <c r="G38" i="5"/>
  <c r="G51" i="5"/>
  <c r="G65" i="5"/>
  <c r="G25" i="5"/>
  <c r="G30" i="5"/>
  <c r="G44" i="5"/>
  <c r="G49" i="5"/>
  <c r="G58" i="5"/>
  <c r="G63" i="5"/>
  <c r="F53" i="5" l="1"/>
  <c r="C57" i="5" s="1"/>
  <c r="F57" i="5" s="1"/>
  <c r="G52" i="5"/>
  <c r="G32" i="5"/>
  <c r="H32" i="5"/>
  <c r="H53" i="5" l="1"/>
  <c r="C12" i="5"/>
  <c r="G53" i="5"/>
  <c r="G57" i="5"/>
  <c r="H57" i="5"/>
  <c r="F68" i="1"/>
  <c r="F65" i="1"/>
  <c r="F64" i="1"/>
  <c r="F63" i="1"/>
  <c r="F62" i="1"/>
  <c r="F61" i="1"/>
  <c r="F55" i="1"/>
  <c r="F54" i="1"/>
  <c r="F53" i="1"/>
  <c r="F52" i="1"/>
  <c r="F49" i="1"/>
  <c r="F48" i="1"/>
  <c r="F47" i="1"/>
  <c r="F46" i="1"/>
  <c r="F45" i="1"/>
  <c r="F44" i="1"/>
  <c r="F41" i="1"/>
  <c r="F40" i="1"/>
  <c r="F39" i="1"/>
  <c r="F38" i="1"/>
  <c r="F34" i="1"/>
  <c r="E69" i="1" s="1"/>
  <c r="F69" i="1" s="1"/>
  <c r="F35" i="1"/>
  <c r="B25" i="1"/>
  <c r="F59" i="1" l="1"/>
  <c r="XFD59" i="1" s="1"/>
  <c r="F70" i="1"/>
  <c r="F42" i="1"/>
  <c r="F50" i="1"/>
  <c r="F36" i="1"/>
  <c r="F66" i="1"/>
  <c r="F71" i="1" l="1"/>
  <c r="F72" i="1" s="1"/>
  <c r="F73" i="1" l="1"/>
  <c r="B20" i="1" s="1"/>
  <c r="F74" i="1"/>
  <c r="H32" i="12" s="1"/>
  <c r="I32" i="12" s="1"/>
  <c r="F77" i="1"/>
  <c r="K32" i="12" l="1"/>
  <c r="J32" i="12"/>
  <c r="I36" i="12"/>
  <c r="E54" i="5"/>
  <c r="F54" i="5" s="1"/>
  <c r="F75" i="1"/>
  <c r="J36" i="12" l="1"/>
  <c r="K36" i="12"/>
  <c r="H37" i="12"/>
  <c r="I37" i="12" s="1"/>
  <c r="E60" i="5"/>
  <c r="F60" i="5" s="1"/>
  <c r="F67" i="5" s="1"/>
  <c r="F59" i="5"/>
  <c r="I43" i="12" l="1"/>
  <c r="J37" i="12"/>
  <c r="K37" i="12"/>
  <c r="C13" i="5"/>
  <c r="C14" i="5"/>
  <c r="C8" i="5" s="1"/>
  <c r="C9" i="5" s="1"/>
  <c r="H59" i="5"/>
  <c r="G59" i="5"/>
  <c r="G67" i="5"/>
  <c r="H67" i="5"/>
  <c r="G60" i="5"/>
  <c r="H60" i="5"/>
  <c r="G54" i="5"/>
  <c r="H54" i="5"/>
  <c r="K43" i="12" l="1"/>
  <c r="J43" i="12"/>
  <c r="F68" i="5"/>
  <c r="B18" i="1"/>
  <c r="G68" i="5" l="1"/>
  <c r="H68" i="5"/>
  <c r="B21" i="1" l="1"/>
  <c r="B22" i="1" s="1"/>
  <c r="B28" i="1" l="1"/>
  <c r="B27" i="1"/>
</calcChain>
</file>

<file path=xl/comments1.xml><?xml version="1.0" encoding="utf-8"?>
<comments xmlns="http://schemas.openxmlformats.org/spreadsheetml/2006/main">
  <authors>
    <author>Jonas Fjertorp</author>
  </authors>
  <commentList>
    <comment ref="E63" authorId="0" shapeId="0">
      <text>
        <r>
          <rPr>
            <sz val="9"/>
            <color indexed="81"/>
            <rFont val="Tahoma"/>
            <family val="2"/>
          </rPr>
          <t>Minst 220 kr per timme (inkl. sociala avgifter)</t>
        </r>
      </text>
    </comment>
  </commentList>
</comments>
</file>

<file path=xl/comments2.xml><?xml version="1.0" encoding="utf-8"?>
<comments xmlns="http://schemas.openxmlformats.org/spreadsheetml/2006/main">
  <authors>
    <author>Jonas Fjertorp</author>
  </authors>
  <commentList>
    <comment ref="H40" authorId="0" shapeId="0">
      <text>
        <r>
          <rPr>
            <sz val="9"/>
            <color indexed="81"/>
            <rFont val="Tahoma"/>
            <family val="2"/>
          </rPr>
          <t>Minst 220 kr per timme (inkl. sociala avgifter)</t>
        </r>
      </text>
    </comment>
  </commentList>
</comments>
</file>

<file path=xl/sharedStrings.xml><?xml version="1.0" encoding="utf-8"?>
<sst xmlns="http://schemas.openxmlformats.org/spreadsheetml/2006/main" count="379" uniqueCount="223">
  <si>
    <t>Total yta</t>
  </si>
  <si>
    <t>m2</t>
  </si>
  <si>
    <t>Byggdelar</t>
  </si>
  <si>
    <t>Utgift</t>
  </si>
  <si>
    <t>Kr/enhet</t>
  </si>
  <si>
    <t>Antal/yta</t>
  </si>
  <si>
    <t>Not</t>
  </si>
  <si>
    <t>Markarbete</t>
  </si>
  <si>
    <t>Byggnad</t>
  </si>
  <si>
    <t>Stallbyggnad</t>
  </si>
  <si>
    <t>Personalutrymmen</t>
  </si>
  <si>
    <t>Foderutrymmen</t>
  </si>
  <si>
    <t>Övriga serviceutrymmen</t>
  </si>
  <si>
    <t>Installationer</t>
  </si>
  <si>
    <t xml:space="preserve">Vatten, framdragning/anslutning </t>
  </si>
  <si>
    <t>VA-installationer</t>
  </si>
  <si>
    <t>El framdragning/anslutning</t>
  </si>
  <si>
    <t>El-installationer</t>
  </si>
  <si>
    <t>Ventilation</t>
  </si>
  <si>
    <t>Gödselvårdsanläggning</t>
  </si>
  <si>
    <t>Utgödsling</t>
  </si>
  <si>
    <t>Gödselpump</t>
  </si>
  <si>
    <t>Pumpbrunn</t>
  </si>
  <si>
    <t>Gödselledningar</t>
  </si>
  <si>
    <t>Gödselbrunn</t>
  </si>
  <si>
    <t>Byggledning</t>
  </si>
  <si>
    <t>Markarbete för byggnader &amp; brunnar</t>
  </si>
  <si>
    <t>Vägar &amp; planer</t>
  </si>
  <si>
    <t>Montering</t>
  </si>
  <si>
    <t>Inredning &amp; utrustning</t>
  </si>
  <si>
    <t>Delsumma markarbete</t>
  </si>
  <si>
    <t>Delsumma installationer</t>
  </si>
  <si>
    <t>Delsumma inredning &amp; utrustning</t>
  </si>
  <si>
    <t>Delsumma gödselvårdsanläggning</t>
  </si>
  <si>
    <t>Enhet</t>
  </si>
  <si>
    <t>Antal djurplatser</t>
  </si>
  <si>
    <t>Utrymmen för besök</t>
  </si>
  <si>
    <t>Utvecklingsgrupp</t>
  </si>
  <si>
    <t>Organisation</t>
  </si>
  <si>
    <t>Namn</t>
  </si>
  <si>
    <t>Kalkylmall</t>
  </si>
  <si>
    <t>suggor</t>
  </si>
  <si>
    <t>slaktgrisar</t>
  </si>
  <si>
    <t>tackor</t>
  </si>
  <si>
    <t>dikor</t>
  </si>
  <si>
    <t>slaktungnöt</t>
  </si>
  <si>
    <t>Välj djurslag…</t>
  </si>
  <si>
    <t/>
  </si>
  <si>
    <t>kr</t>
  </si>
  <si>
    <t>st</t>
  </si>
  <si>
    <t>kg</t>
  </si>
  <si>
    <t>Strömedel</t>
  </si>
  <si>
    <t>El</t>
  </si>
  <si>
    <t>kWh</t>
  </si>
  <si>
    <t>Produktionsrådgivning</t>
  </si>
  <si>
    <t>SUMMA SÄRKOSTNADER 1</t>
  </si>
  <si>
    <t>Ränta djurkapital</t>
  </si>
  <si>
    <t>SUMMA SÄRKOSTNADER 2</t>
  </si>
  <si>
    <t>Byggnader, avskr + ränta</t>
  </si>
  <si>
    <t>tim</t>
  </si>
  <si>
    <t>SUMMA SÄRKOSTNADER 3</t>
  </si>
  <si>
    <t>Grundförutsättningar</t>
  </si>
  <si>
    <t>Arbete (inkl. eget arbete)</t>
  </si>
  <si>
    <t>%</t>
  </si>
  <si>
    <t>Pris per enhet</t>
  </si>
  <si>
    <t>Övriga kostnader</t>
  </si>
  <si>
    <t>Nyckeltal</t>
  </si>
  <si>
    <t>Försäkringar för stallbyggnad</t>
  </si>
  <si>
    <t>Försäkringar för djur</t>
  </si>
  <si>
    <t>Investeringsutgift per djurplats utan stöd</t>
  </si>
  <si>
    <t>---</t>
  </si>
  <si>
    <t>Summa kostnader</t>
  </si>
  <si>
    <t>Ekonomisk livslängd</t>
  </si>
  <si>
    <t>år</t>
  </si>
  <si>
    <t>kr/år</t>
  </si>
  <si>
    <t>SUMMA med investeringsstöd (exkl. utrymme för visning)</t>
  </si>
  <si>
    <t>Investeringsutgift per djurplats med stöd</t>
  </si>
  <si>
    <t>Avkastningskrav på investering, nominell kalkylränta</t>
  </si>
  <si>
    <t>Inflation</t>
  </si>
  <si>
    <t>per år</t>
  </si>
  <si>
    <t>Real kalkylränta</t>
  </si>
  <si>
    <t>Byggledning &amp; ränta</t>
  </si>
  <si>
    <t>Delsumma byggledning &amp; ränta</t>
  </si>
  <si>
    <t>Ränta under byggtid</t>
  </si>
  <si>
    <t>Uppföljning av produktion, ekonomi &amp; drift</t>
  </si>
  <si>
    <t>Totalt för stallet</t>
  </si>
  <si>
    <t>Summa intäkter</t>
  </si>
  <si>
    <t>TB 1</t>
  </si>
  <si>
    <t>TB 2</t>
  </si>
  <si>
    <t>TB 3</t>
  </si>
  <si>
    <t>Investeringskalkyl</t>
  </si>
  <si>
    <t>Värde</t>
  </si>
  <si>
    <t>Yta stall</t>
  </si>
  <si>
    <t>Yta serviceutrymmen &amp; övriga utrymmen (exklusive utrymmen för visning)</t>
  </si>
  <si>
    <t>Yta utrymmen för visning</t>
  </si>
  <si>
    <t>INVESTERINGSUTGIFT</t>
  </si>
  <si>
    <t>GRUNDDATA</t>
  </si>
  <si>
    <t>Byggnader, löpande underhåll</t>
  </si>
  <si>
    <t>SÄRINTÄKTER</t>
  </si>
  <si>
    <t>SÄRKOSTNADER</t>
  </si>
  <si>
    <t>Gödsel</t>
  </si>
  <si>
    <t>Kompensationsstöd</t>
  </si>
  <si>
    <t>Grovfoder</t>
  </si>
  <si>
    <t>Fodersäd</t>
  </si>
  <si>
    <t>Mineralfoder</t>
  </si>
  <si>
    <t>Driftsledning</t>
  </si>
  <si>
    <t>Ersättning för ekologisk produktion</t>
  </si>
  <si>
    <t>Veterinär &amp; medicin</t>
  </si>
  <si>
    <t>mjölkkor</t>
  </si>
  <si>
    <t>Ränta rörelsekapital</t>
  </si>
  <si>
    <t>Nettonuvärde vid 5 % avkastning</t>
  </si>
  <si>
    <t>Netto betesmark</t>
  </si>
  <si>
    <t>Investeringsutgift (efter investeringsstöd enligt schablon)</t>
  </si>
  <si>
    <t>Driftnetto per år enligt driftkalkyl</t>
  </si>
  <si>
    <t>Driftnetto per år exklusive avskrivningar och ränta</t>
  </si>
  <si>
    <t>Resultat för stallet</t>
  </si>
  <si>
    <t>Vinstmarginal i stallkalkylen</t>
  </si>
  <si>
    <t>Driftkalkyl - Lamm</t>
  </si>
  <si>
    <t>Antal sålda lamm per tacka och år</t>
  </si>
  <si>
    <t>Slaktlamm</t>
  </si>
  <si>
    <t>Utslagstacka</t>
  </si>
  <si>
    <t>Kvant per tacka</t>
  </si>
  <si>
    <t>Kronor per tacka</t>
  </si>
  <si>
    <t>Kronor per lamm</t>
  </si>
  <si>
    <t>Pälslammskinn</t>
  </si>
  <si>
    <t>Livdjur</t>
  </si>
  <si>
    <t>Ull</t>
  </si>
  <si>
    <t>Bagghållning</t>
  </si>
  <si>
    <t>Kraftfoder</t>
  </si>
  <si>
    <t>Täckningsbidrag per tacka</t>
  </si>
  <si>
    <t>Löner</t>
  </si>
  <si>
    <t>&lt;- Välj djurslag i rullistan</t>
  </si>
  <si>
    <t>kgts</t>
  </si>
  <si>
    <t>m3</t>
  </si>
  <si>
    <t>Klippning</t>
  </si>
  <si>
    <t>Spannmål</t>
  </si>
  <si>
    <t>osv.</t>
  </si>
  <si>
    <t>Nuvärdet av driftsnetto (exklusive avskrivningar och ränta)</t>
  </si>
  <si>
    <t>SUMMA Investeringsutgift (exklusive utrymmen för visning)</t>
  </si>
  <si>
    <t>TOTAL INVESTERINGSUTGIFT (inklusive utrymmen för visning, utan stöd)</t>
  </si>
  <si>
    <t>lamm</t>
  </si>
  <si>
    <t>Indata till rullista på fliken "Investeringskalkyl" - RADERA EJ</t>
  </si>
  <si>
    <t>Betesmark allmänna värden</t>
  </si>
  <si>
    <t xml:space="preserve"> kr</t>
  </si>
  <si>
    <t>Betesmark särskilda värden</t>
  </si>
  <si>
    <t>Kg ts</t>
  </si>
  <si>
    <t>Tot</t>
  </si>
  <si>
    <t>Per tacka</t>
  </si>
  <si>
    <t>Antal tackor</t>
  </si>
  <si>
    <t>Skötselkostnad</t>
  </si>
  <si>
    <t>per ha</t>
  </si>
  <si>
    <t>Miljöstöd</t>
  </si>
  <si>
    <t>Ha</t>
  </si>
  <si>
    <t>Netto</t>
  </si>
  <si>
    <t>Per kg ts</t>
  </si>
  <si>
    <t>Grovf</t>
  </si>
  <si>
    <t>Helsäd</t>
  </si>
  <si>
    <t>Summa</t>
  </si>
  <si>
    <t>kr/tacka</t>
  </si>
  <si>
    <t>Extra djuromsorg</t>
  </si>
  <si>
    <t>Bete betesvall</t>
  </si>
  <si>
    <t>kg ts</t>
  </si>
  <si>
    <t>Utslagstacka, egen försäljning kött</t>
  </si>
  <si>
    <t>Utslagstacka, egen försäljning skinn</t>
  </si>
  <si>
    <t>Netto betesmark egen</t>
  </si>
  <si>
    <t xml:space="preserve">Netto betesmark, naturreservat </t>
  </si>
  <si>
    <t>Kostnader skinn</t>
  </si>
  <si>
    <t>Arbete förädling skinn, kött, försäljning</t>
  </si>
  <si>
    <t>Livdjur för egen produktion</t>
  </si>
  <si>
    <t>Livdjur till försäljning</t>
  </si>
  <si>
    <t>7, 8</t>
  </si>
  <si>
    <t>Elförbrukning</t>
  </si>
  <si>
    <t>Belysning</t>
  </si>
  <si>
    <t>lumen/m2</t>
  </si>
  <si>
    <t>Led</t>
  </si>
  <si>
    <t>lumen/w</t>
  </si>
  <si>
    <t>Stall</t>
  </si>
  <si>
    <t>w/tim</t>
  </si>
  <si>
    <t>w</t>
  </si>
  <si>
    <t>timmar per dag</t>
  </si>
  <si>
    <t>stallperiod</t>
  </si>
  <si>
    <t>Tot timmar</t>
  </si>
  <si>
    <t>kWh per år</t>
  </si>
  <si>
    <t>El vatten</t>
  </si>
  <si>
    <t>El värme</t>
  </si>
  <si>
    <t>El utfordring 1 tim/dag</t>
  </si>
  <si>
    <t>Effekt maskiner</t>
  </si>
  <si>
    <t>kW</t>
  </si>
  <si>
    <t>Diesel</t>
  </si>
  <si>
    <t>inkörning 2 balar per dag</t>
  </si>
  <si>
    <t>plus halm</t>
  </si>
  <si>
    <t>timmar</t>
  </si>
  <si>
    <t>15 min p</t>
  </si>
  <si>
    <t>stallgödsel</t>
  </si>
  <si>
    <t>liter</t>
  </si>
  <si>
    <t>Total traktor ha</t>
  </si>
  <si>
    <t>Kostnad traktor m lastare</t>
  </si>
  <si>
    <t>kr/tim</t>
  </si>
  <si>
    <t>Underhåll</t>
  </si>
  <si>
    <t>Avskrivning o ränta</t>
  </si>
  <si>
    <t>Transport beten</t>
  </si>
  <si>
    <t>kr/gång</t>
  </si>
  <si>
    <t xml:space="preserve">Koll beten </t>
  </si>
  <si>
    <t>Bränsle</t>
  </si>
  <si>
    <t>Transport</t>
  </si>
  <si>
    <t>Maskiner löpande underhåll</t>
  </si>
  <si>
    <t>Bandfoder och rivare</t>
  </si>
  <si>
    <t>Sa underhåll</t>
  </si>
  <si>
    <t>El gårdsbutik</t>
  </si>
  <si>
    <t>Traktor</t>
  </si>
  <si>
    <t>Grindar mm</t>
  </si>
  <si>
    <t>Foderanläggning</t>
  </si>
  <si>
    <t>Halmvagn</t>
  </si>
  <si>
    <t>Egen producerad solel</t>
  </si>
  <si>
    <t>Traktor/lastare</t>
  </si>
  <si>
    <t>Utrustning för gårdsbutik</t>
  </si>
  <si>
    <t>Bete betesmark</t>
  </si>
  <si>
    <t>Kostnader egenförsäljning kött</t>
  </si>
  <si>
    <t>Stängsel rastfållor</t>
  </si>
  <si>
    <t>Investeringsstöd enligt schablon, totalt, exklusive solfångare, traktor och ränta</t>
  </si>
  <si>
    <t>Komplett Solcellsanläggning 67 kWp</t>
  </si>
  <si>
    <t>Lammstall</t>
  </si>
  <si>
    <t>Hushållningssällskapet &amp; Haby gård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</si>
</sst>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0\ &quot;kr&quot;;[Red]\-#,##0\ &quot;kr&quot;"/>
    <numFmt numFmtId="8" formatCode="#,##0.00\ &quot;kr&quot;;[Red]\-#,##0.00\ &quot;kr&quot;"/>
    <numFmt numFmtId="164" formatCode="#,##0\ &quot;kr&quot;"/>
    <numFmt numFmtId="165" formatCode="#,##0.0000"/>
    <numFmt numFmtId="166" formatCode="yy/mm/dd"/>
    <numFmt numFmtId="167" formatCode="#,##0.0"/>
    <numFmt numFmtId="168" formatCode="0.0%"/>
    <numFmt numFmtId="169" formatCode="#,##0\ _k_r"/>
    <numFmt numFmtId="170" formatCode="#,##0.00\ _k_r"/>
    <numFmt numFmtId="171" formatCode="#,##0_k_r"/>
    <numFmt numFmtId="173" formatCode="#,##0_ ;[Red]\-#,##0\ "/>
    <numFmt numFmtId="176" formatCode="0.00_\\h\a"/>
  </numFmts>
  <fonts count="20" x14ac:knownFonts="1">
    <font>
      <sz val="11"/>
      <color theme="1"/>
      <name val="Calibri"/>
      <family val="2"/>
      <scheme val="minor"/>
    </font>
    <font>
      <sz val="11"/>
      <color theme="1"/>
      <name val="Calibri"/>
      <family val="2"/>
      <scheme val="minor"/>
    </font>
    <font>
      <sz val="11"/>
      <color rgb="FFFF0000"/>
      <name val="Calibri"/>
      <family val="2"/>
      <scheme val="minor"/>
    </font>
    <font>
      <sz val="22"/>
      <color theme="1"/>
      <name val="Cambria"/>
      <family val="1"/>
    </font>
    <font>
      <sz val="11"/>
      <color theme="1"/>
      <name val="Cambria"/>
      <family val="1"/>
    </font>
    <font>
      <sz val="11"/>
      <name val="Cambria"/>
      <family val="1"/>
    </font>
    <font>
      <sz val="11"/>
      <color rgb="FFFF0000"/>
      <name val="Cambria"/>
      <family val="1"/>
    </font>
    <font>
      <b/>
      <i/>
      <sz val="11"/>
      <color theme="1"/>
      <name val="Cambria"/>
      <family val="1"/>
    </font>
    <font>
      <i/>
      <sz val="11"/>
      <color theme="1"/>
      <name val="Cambria"/>
      <family val="1"/>
    </font>
    <font>
      <b/>
      <sz val="12"/>
      <color theme="1"/>
      <name val="Cambria"/>
      <family val="1"/>
    </font>
    <font>
      <b/>
      <i/>
      <sz val="12"/>
      <color theme="1"/>
      <name val="Cambria"/>
      <family val="1"/>
    </font>
    <font>
      <b/>
      <sz val="11"/>
      <color theme="1"/>
      <name val="Cambria"/>
      <family val="1"/>
    </font>
    <font>
      <b/>
      <sz val="11"/>
      <name val="Cambria"/>
      <family val="1"/>
    </font>
    <font>
      <b/>
      <i/>
      <sz val="11"/>
      <name val="Cambria"/>
      <family val="1"/>
    </font>
    <font>
      <i/>
      <sz val="11"/>
      <name val="Cambria"/>
      <family val="1"/>
    </font>
    <font>
      <sz val="9"/>
      <color indexed="81"/>
      <name val="Tahoma"/>
      <family val="2"/>
    </font>
    <font>
      <sz val="10"/>
      <name val="Verdana"/>
      <family val="2"/>
    </font>
    <font>
      <sz val="14"/>
      <name val="Cambria"/>
      <family val="1"/>
    </font>
    <font>
      <b/>
      <sz val="14"/>
      <color rgb="FFFF0000"/>
      <name val="Calibri"/>
      <family val="2"/>
      <scheme val="minor"/>
    </font>
    <font>
      <sz val="10"/>
      <name val="Georgia"/>
      <family val="1"/>
    </font>
  </fonts>
  <fills count="6">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rgb="FF92D050"/>
        <bgColor indexed="64"/>
      </patternFill>
    </fill>
    <fill>
      <patternFill patternType="solid">
        <fgColor theme="2"/>
        <bgColor indexed="64"/>
      </patternFill>
    </fill>
  </fills>
  <borders count="25">
    <border>
      <left/>
      <right/>
      <top/>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right style="thin">
        <color indexed="64"/>
      </right>
      <top/>
      <bottom/>
      <diagonal/>
    </border>
  </borders>
  <cellStyleXfs count="3">
    <xf numFmtId="0" fontId="0" fillId="0" borderId="0"/>
    <xf numFmtId="9" fontId="1" fillId="0" borderId="0" applyFont="0" applyFill="0" applyBorder="0" applyAlignment="0" applyProtection="0"/>
    <xf numFmtId="0" fontId="16" fillId="0" borderId="0"/>
  </cellStyleXfs>
  <cellXfs count="227">
    <xf numFmtId="0" fontId="0" fillId="0" borderId="0" xfId="0"/>
    <xf numFmtId="0" fontId="2" fillId="0" borderId="0" xfId="0" applyFont="1"/>
    <xf numFmtId="0" fontId="3" fillId="0" borderId="0" xfId="0" applyFont="1"/>
    <xf numFmtId="0" fontId="4" fillId="0" borderId="0" xfId="0" applyFont="1"/>
    <xf numFmtId="0" fontId="6" fillId="0" borderId="0" xfId="0" applyFont="1"/>
    <xf numFmtId="0" fontId="7" fillId="4" borderId="2" xfId="0" applyFont="1" applyFill="1" applyBorder="1"/>
    <xf numFmtId="0" fontId="7" fillId="4" borderId="3" xfId="0" applyFont="1" applyFill="1" applyBorder="1"/>
    <xf numFmtId="0" fontId="4" fillId="4" borderId="3" xfId="0" applyFont="1" applyFill="1" applyBorder="1"/>
    <xf numFmtId="0" fontId="4" fillId="4" borderId="4" xfId="0" applyFont="1" applyFill="1" applyBorder="1"/>
    <xf numFmtId="0" fontId="4" fillId="0" borderId="0" xfId="0" applyFont="1" applyBorder="1"/>
    <xf numFmtId="0" fontId="4" fillId="0" borderId="5" xfId="0" applyFont="1" applyBorder="1" applyAlignment="1">
      <alignment wrapText="1"/>
    </xf>
    <xf numFmtId="0" fontId="4" fillId="0" borderId="0" xfId="0" applyFont="1" applyBorder="1" applyAlignment="1">
      <alignment wrapText="1"/>
    </xf>
    <xf numFmtId="0" fontId="4" fillId="0" borderId="6" xfId="0" applyFont="1" applyBorder="1"/>
    <xf numFmtId="0" fontId="8" fillId="0" borderId="0" xfId="0" applyFont="1" applyBorder="1"/>
    <xf numFmtId="0" fontId="4" fillId="0" borderId="5" xfId="0" applyFont="1" applyBorder="1"/>
    <xf numFmtId="0" fontId="4" fillId="0" borderId="7" xfId="0" applyFont="1" applyBorder="1" applyAlignment="1">
      <alignment wrapText="1"/>
    </xf>
    <xf numFmtId="0" fontId="4" fillId="0" borderId="8" xfId="0" applyFont="1" applyBorder="1"/>
    <xf numFmtId="0" fontId="9" fillId="0" borderId="0" xfId="0" applyFont="1"/>
    <xf numFmtId="0" fontId="7" fillId="0" borderId="5" xfId="0" applyFont="1" applyBorder="1"/>
    <xf numFmtId="0" fontId="8" fillId="0" borderId="0" xfId="0" applyFont="1" applyBorder="1" applyAlignment="1">
      <alignment horizontal="center"/>
    </xf>
    <xf numFmtId="0" fontId="8" fillId="0" borderId="18" xfId="0" applyFont="1" applyBorder="1"/>
    <xf numFmtId="0" fontId="8" fillId="0" borderId="19" xfId="0" applyFont="1" applyBorder="1" applyAlignment="1">
      <alignment horizontal="center"/>
    </xf>
    <xf numFmtId="0" fontId="8" fillId="0" borderId="19" xfId="0" applyFont="1" applyBorder="1"/>
    <xf numFmtId="164" fontId="8" fillId="0" borderId="19" xfId="0" applyNumberFormat="1" applyFont="1" applyBorder="1"/>
    <xf numFmtId="0" fontId="7" fillId="0" borderId="12" xfId="0" applyFont="1" applyBorder="1"/>
    <xf numFmtId="0" fontId="8" fillId="0" borderId="13" xfId="0" applyFont="1" applyBorder="1" applyAlignment="1">
      <alignment horizontal="center"/>
    </xf>
    <xf numFmtId="0" fontId="11" fillId="0" borderId="12" xfId="0" applyFont="1" applyBorder="1"/>
    <xf numFmtId="0" fontId="11" fillId="0" borderId="13" xfId="0" applyFont="1" applyBorder="1"/>
    <xf numFmtId="164" fontId="11" fillId="0" borderId="13" xfId="0" applyNumberFormat="1" applyFont="1" applyBorder="1"/>
    <xf numFmtId="0" fontId="11" fillId="0" borderId="5" xfId="0" applyFont="1" applyBorder="1"/>
    <xf numFmtId="0" fontId="11" fillId="0" borderId="0" xfId="0" applyFont="1" applyBorder="1"/>
    <xf numFmtId="164" fontId="11" fillId="0" borderId="0" xfId="0" applyNumberFormat="1" applyFont="1" applyBorder="1"/>
    <xf numFmtId="0" fontId="4" fillId="5" borderId="12" xfId="0" applyFont="1" applyFill="1" applyBorder="1"/>
    <xf numFmtId="0" fontId="4" fillId="0" borderId="15" xfId="0" applyFont="1" applyBorder="1"/>
    <xf numFmtId="0" fontId="8" fillId="0" borderId="16" xfId="0" applyFont="1" applyBorder="1" applyAlignment="1">
      <alignment horizontal="center"/>
    </xf>
    <xf numFmtId="0" fontId="4" fillId="0" borderId="16" xfId="0" applyFont="1" applyBorder="1"/>
    <xf numFmtId="0" fontId="5" fillId="0" borderId="0" xfId="0" applyFont="1" applyBorder="1" applyAlignment="1" applyProtection="1">
      <alignment horizontal="right"/>
      <protection locked="0"/>
    </xf>
    <xf numFmtId="167" fontId="5" fillId="0" borderId="0" xfId="0" applyNumberFormat="1" applyFont="1" applyFill="1" applyBorder="1" applyProtection="1">
      <protection locked="0"/>
    </xf>
    <xf numFmtId="4" fontId="5" fillId="0" borderId="0" xfId="0" applyNumberFormat="1" applyFont="1" applyFill="1" applyBorder="1" applyProtection="1">
      <protection locked="0"/>
    </xf>
    <xf numFmtId="3" fontId="5" fillId="0" borderId="0" xfId="0" applyNumberFormat="1" applyFont="1" applyFill="1" applyBorder="1" applyProtection="1">
      <protection locked="0"/>
    </xf>
    <xf numFmtId="0" fontId="5" fillId="0" borderId="0" xfId="0" applyFont="1" applyFill="1" applyBorder="1" applyAlignment="1" applyProtection="1">
      <alignment horizontal="right"/>
      <protection locked="0"/>
    </xf>
    <xf numFmtId="0" fontId="14" fillId="0" borderId="0" xfId="0" applyFont="1" applyBorder="1" applyAlignment="1" applyProtection="1">
      <alignment horizontal="center"/>
      <protection locked="0"/>
    </xf>
    <xf numFmtId="0" fontId="11" fillId="0" borderId="7" xfId="0" applyFont="1" applyBorder="1"/>
    <xf numFmtId="0" fontId="8" fillId="0" borderId="1" xfId="0" applyFont="1" applyBorder="1" applyAlignment="1">
      <alignment horizontal="center"/>
    </xf>
    <xf numFmtId="0" fontId="11" fillId="0" borderId="1" xfId="0" applyFont="1" applyBorder="1"/>
    <xf numFmtId="164" fontId="11" fillId="0" borderId="1" xfId="0" applyNumberFormat="1" applyFont="1" applyBorder="1"/>
    <xf numFmtId="0" fontId="4" fillId="0" borderId="1" xfId="0" applyFont="1" applyBorder="1"/>
    <xf numFmtId="0" fontId="14" fillId="0" borderId="0" xfId="0" quotePrefix="1" applyFont="1" applyBorder="1" applyAlignment="1" applyProtection="1">
      <alignment horizontal="center"/>
      <protection locked="0"/>
    </xf>
    <xf numFmtId="0" fontId="5" fillId="0" borderId="0" xfId="0" applyFont="1" applyBorder="1" applyAlignment="1" applyProtection="1">
      <alignment horizontal="center"/>
      <protection locked="0"/>
    </xf>
    <xf numFmtId="170" fontId="5" fillId="0" borderId="0" xfId="1" applyNumberFormat="1" applyFont="1" applyFill="1" applyBorder="1" applyProtection="1">
      <protection locked="0"/>
    </xf>
    <xf numFmtId="170" fontId="5" fillId="0" borderId="0" xfId="0" applyNumberFormat="1" applyFont="1" applyBorder="1" applyProtection="1">
      <protection locked="0"/>
    </xf>
    <xf numFmtId="170" fontId="5" fillId="0" borderId="0" xfId="0" applyNumberFormat="1" applyFont="1" applyFill="1" applyBorder="1" applyProtection="1">
      <protection locked="0"/>
    </xf>
    <xf numFmtId="6" fontId="13" fillId="3" borderId="19" xfId="0" applyNumberFormat="1" applyFont="1" applyFill="1" applyBorder="1" applyProtection="1"/>
    <xf numFmtId="0" fontId="16" fillId="0" borderId="0" xfId="2" applyAlignment="1">
      <alignment wrapText="1"/>
    </xf>
    <xf numFmtId="0" fontId="16" fillId="0" borderId="0" xfId="2"/>
    <xf numFmtId="0" fontId="16" fillId="0" borderId="0" xfId="2" applyFont="1" applyFill="1" applyBorder="1"/>
    <xf numFmtId="0" fontId="11" fillId="0" borderId="18" xfId="0" applyFont="1" applyBorder="1"/>
    <xf numFmtId="0" fontId="11" fillId="0" borderId="19" xfId="0" applyFont="1" applyBorder="1"/>
    <xf numFmtId="164" fontId="11" fillId="0" borderId="19" xfId="0" applyNumberFormat="1" applyFont="1" applyBorder="1"/>
    <xf numFmtId="0" fontId="5" fillId="0" borderId="5" xfId="2" applyFont="1" applyFill="1" applyBorder="1" applyAlignment="1">
      <alignment wrapText="1"/>
    </xf>
    <xf numFmtId="0" fontId="5" fillId="0" borderId="6" xfId="2" applyFont="1" applyFill="1" applyBorder="1"/>
    <xf numFmtId="171" fontId="5" fillId="0" borderId="0" xfId="2" applyNumberFormat="1" applyFont="1" applyFill="1" applyBorder="1" applyProtection="1">
      <protection locked="0"/>
    </xf>
    <xf numFmtId="0" fontId="5" fillId="0" borderId="0" xfId="2" applyFont="1" applyFill="1" applyBorder="1"/>
    <xf numFmtId="0" fontId="5" fillId="0" borderId="0" xfId="0" applyFont="1" applyBorder="1" applyAlignment="1" applyProtection="1">
      <alignment wrapText="1"/>
      <protection locked="0"/>
    </xf>
    <xf numFmtId="0" fontId="5" fillId="0" borderId="0" xfId="2" applyFont="1" applyFill="1" applyBorder="1" applyAlignment="1" applyProtection="1">
      <alignment horizontal="right"/>
      <protection locked="0"/>
    </xf>
    <xf numFmtId="0" fontId="5" fillId="0" borderId="0" xfId="2" applyFont="1" applyFill="1" applyBorder="1" applyAlignment="1">
      <alignment wrapText="1"/>
    </xf>
    <xf numFmtId="0" fontId="8" fillId="0" borderId="20" xfId="0" applyFont="1" applyBorder="1"/>
    <xf numFmtId="0" fontId="13" fillId="0" borderId="15" xfId="2" applyFont="1" applyFill="1" applyBorder="1" applyAlignment="1">
      <alignment wrapText="1"/>
    </xf>
    <xf numFmtId="0" fontId="13" fillId="0" borderId="17" xfId="2" applyFont="1" applyFill="1" applyBorder="1"/>
    <xf numFmtId="0" fontId="9" fillId="4" borderId="5" xfId="0" applyFont="1" applyFill="1" applyBorder="1"/>
    <xf numFmtId="0" fontId="10" fillId="4" borderId="0" xfId="0" applyFont="1" applyFill="1" applyBorder="1" applyAlignment="1">
      <alignment horizontal="center"/>
    </xf>
    <xf numFmtId="0" fontId="9" fillId="4" borderId="0" xfId="0" applyFont="1" applyFill="1" applyBorder="1"/>
    <xf numFmtId="0" fontId="9" fillId="4" borderId="6" xfId="0" applyFont="1" applyFill="1" applyBorder="1"/>
    <xf numFmtId="0" fontId="9" fillId="4" borderId="23" xfId="0" applyFont="1" applyFill="1" applyBorder="1"/>
    <xf numFmtId="0" fontId="4" fillId="4" borderId="21" xfId="0" applyFont="1" applyFill="1" applyBorder="1"/>
    <xf numFmtId="0" fontId="4" fillId="4" borderId="22" xfId="0" applyFont="1" applyFill="1" applyBorder="1"/>
    <xf numFmtId="0" fontId="12" fillId="4" borderId="23" xfId="2" applyFont="1" applyFill="1" applyBorder="1" applyAlignment="1">
      <alignment wrapText="1"/>
    </xf>
    <xf numFmtId="0" fontId="12" fillId="4" borderId="21" xfId="2" applyFont="1" applyFill="1" applyBorder="1" applyAlignment="1">
      <alignment horizontal="left" wrapText="1"/>
    </xf>
    <xf numFmtId="0" fontId="12" fillId="4" borderId="22" xfId="2" applyFont="1" applyFill="1" applyBorder="1" applyAlignment="1">
      <alignment wrapText="1"/>
    </xf>
    <xf numFmtId="0" fontId="7" fillId="4" borderId="7" xfId="0" applyFont="1" applyFill="1" applyBorder="1"/>
    <xf numFmtId="0" fontId="7" fillId="4" borderId="1" xfId="0" applyFont="1" applyFill="1" applyBorder="1"/>
    <xf numFmtId="0" fontId="4" fillId="4" borderId="8" xfId="0" applyFont="1" applyFill="1" applyBorder="1"/>
    <xf numFmtId="168" fontId="5" fillId="0" borderId="0" xfId="1" applyNumberFormat="1" applyFont="1" applyFill="1" applyBorder="1" applyProtection="1">
      <protection locked="0"/>
    </xf>
    <xf numFmtId="164" fontId="4" fillId="0" borderId="6" xfId="0" applyNumberFormat="1" applyFont="1" applyFill="1" applyBorder="1"/>
    <xf numFmtId="164" fontId="4" fillId="0" borderId="14" xfId="0" applyNumberFormat="1" applyFont="1" applyFill="1" applyBorder="1"/>
    <xf numFmtId="6" fontId="5" fillId="3" borderId="6" xfId="0" applyNumberFormat="1" applyFont="1" applyFill="1" applyBorder="1" applyProtection="1"/>
    <xf numFmtId="6" fontId="5" fillId="3" borderId="11" xfId="0" applyNumberFormat="1" applyFont="1" applyFill="1" applyBorder="1" applyProtection="1"/>
    <xf numFmtId="171" fontId="5" fillId="0" borderId="0" xfId="2" applyNumberFormat="1" applyFont="1" applyFill="1" applyBorder="1" applyAlignment="1">
      <alignment wrapText="1"/>
    </xf>
    <xf numFmtId="38" fontId="4" fillId="0" borderId="0" xfId="0" applyNumberFormat="1" applyFont="1"/>
    <xf numFmtId="6" fontId="4" fillId="0" borderId="0" xfId="0" applyNumberFormat="1" applyFont="1"/>
    <xf numFmtId="0" fontId="17" fillId="0" borderId="0" xfId="0" applyFont="1"/>
    <xf numFmtId="168" fontId="5" fillId="3" borderId="0" xfId="2" applyNumberFormat="1" applyFont="1" applyFill="1" applyBorder="1" applyAlignment="1" applyProtection="1">
      <alignment horizontal="right"/>
    </xf>
    <xf numFmtId="164" fontId="4" fillId="3" borderId="6" xfId="0" applyNumberFormat="1" applyFont="1" applyFill="1" applyBorder="1" applyProtection="1"/>
    <xf numFmtId="164" fontId="8" fillId="3" borderId="20" xfId="0" applyNumberFormat="1" applyFont="1" applyFill="1" applyBorder="1" applyProtection="1"/>
    <xf numFmtId="164" fontId="11" fillId="3" borderId="14" xfId="0" applyNumberFormat="1" applyFont="1" applyFill="1" applyBorder="1" applyProtection="1"/>
    <xf numFmtId="164" fontId="11" fillId="3" borderId="8" xfId="0" applyNumberFormat="1" applyFont="1" applyFill="1" applyBorder="1" applyProtection="1"/>
    <xf numFmtId="164" fontId="11" fillId="3" borderId="20" xfId="0" applyNumberFormat="1" applyFont="1" applyFill="1" applyBorder="1" applyProtection="1"/>
    <xf numFmtId="164" fontId="11" fillId="3" borderId="6" xfId="0" applyNumberFormat="1" applyFont="1" applyFill="1" applyBorder="1" applyProtection="1"/>
    <xf numFmtId="164" fontId="4" fillId="3" borderId="17" xfId="0" applyNumberFormat="1" applyFont="1" applyFill="1" applyBorder="1" applyProtection="1"/>
    <xf numFmtId="9" fontId="4" fillId="2" borderId="0" xfId="0" applyNumberFormat="1" applyFont="1" applyFill="1" applyBorder="1" applyProtection="1"/>
    <xf numFmtId="173" fontId="13" fillId="3" borderId="1" xfId="2" applyNumberFormat="1" applyFont="1" applyFill="1" applyBorder="1" applyAlignment="1" applyProtection="1">
      <alignment horizontal="right"/>
    </xf>
    <xf numFmtId="173" fontId="13" fillId="3" borderId="10" xfId="2" applyNumberFormat="1" applyFont="1" applyFill="1" applyBorder="1" applyAlignment="1" applyProtection="1">
      <alignment horizontal="right"/>
    </xf>
    <xf numFmtId="3" fontId="8" fillId="3" borderId="16" xfId="0" applyNumberFormat="1" applyFont="1" applyFill="1" applyBorder="1" applyProtection="1"/>
    <xf numFmtId="0" fontId="4" fillId="0" borderId="5" xfId="0" applyFont="1" applyBorder="1" applyAlignment="1" applyProtection="1">
      <alignment wrapText="1"/>
      <protection locked="0"/>
    </xf>
    <xf numFmtId="0" fontId="4" fillId="0" borderId="0" xfId="0" applyFont="1" applyBorder="1" applyAlignment="1" applyProtection="1">
      <alignment wrapText="1"/>
      <protection locked="0"/>
    </xf>
    <xf numFmtId="0" fontId="4" fillId="0" borderId="0" xfId="0" applyFont="1" applyFill="1" applyBorder="1" applyProtection="1">
      <protection locked="0"/>
    </xf>
    <xf numFmtId="0" fontId="4" fillId="0" borderId="6" xfId="0" applyFont="1" applyBorder="1" applyProtection="1">
      <protection locked="0"/>
    </xf>
    <xf numFmtId="0" fontId="4" fillId="0" borderId="9" xfId="0" applyFont="1" applyBorder="1" applyProtection="1">
      <protection locked="0"/>
    </xf>
    <xf numFmtId="0" fontId="4" fillId="0" borderId="10" xfId="0" applyFont="1" applyBorder="1" applyProtection="1">
      <protection locked="0"/>
    </xf>
    <xf numFmtId="0" fontId="4" fillId="0" borderId="11" xfId="0" applyFont="1" applyBorder="1" applyProtection="1">
      <protection locked="0"/>
    </xf>
    <xf numFmtId="0" fontId="4" fillId="0" borderId="0" xfId="0" applyFont="1" applyBorder="1" applyAlignment="1" applyProtection="1">
      <alignment horizontal="right" wrapText="1"/>
      <protection locked="0"/>
    </xf>
    <xf numFmtId="0" fontId="4" fillId="0" borderId="0" xfId="0" applyFont="1" applyFill="1" applyBorder="1" applyAlignment="1" applyProtection="1">
      <alignment horizontal="right"/>
      <protection locked="0"/>
    </xf>
    <xf numFmtId="0" fontId="4" fillId="0" borderId="1" xfId="0" applyFont="1" applyFill="1" applyBorder="1" applyAlignment="1" applyProtection="1">
      <alignment horizontal="right"/>
      <protection locked="0"/>
    </xf>
    <xf numFmtId="0" fontId="8" fillId="0" borderId="0" xfId="0" applyFont="1" applyBorder="1" applyAlignment="1" applyProtection="1">
      <alignment horizontal="center"/>
      <protection locked="0"/>
    </xf>
    <xf numFmtId="0" fontId="4" fillId="0" borderId="0" xfId="0" applyFont="1" applyBorder="1" applyProtection="1">
      <protection locked="0"/>
    </xf>
    <xf numFmtId="164" fontId="4" fillId="0" borderId="0" xfId="0" applyNumberFormat="1" applyFont="1" applyBorder="1" applyProtection="1">
      <protection locked="0"/>
    </xf>
    <xf numFmtId="0" fontId="8" fillId="0" borderId="19" xfId="0" applyFont="1" applyBorder="1" applyAlignment="1" applyProtection="1">
      <alignment horizontal="center"/>
      <protection locked="0"/>
    </xf>
    <xf numFmtId="0" fontId="8" fillId="0" borderId="19" xfId="0" applyFont="1" applyBorder="1" applyProtection="1">
      <protection locked="0"/>
    </xf>
    <xf numFmtId="164" fontId="8" fillId="0" borderId="19" xfId="0" applyNumberFormat="1" applyFont="1" applyBorder="1" applyProtection="1">
      <protection locked="0"/>
    </xf>
    <xf numFmtId="0" fontId="8" fillId="0" borderId="13" xfId="0" applyFont="1" applyBorder="1" applyAlignment="1" applyProtection="1">
      <alignment horizontal="center"/>
      <protection locked="0"/>
    </xf>
    <xf numFmtId="0" fontId="4" fillId="0" borderId="13" xfId="0" applyFont="1" applyBorder="1" applyProtection="1">
      <protection locked="0"/>
    </xf>
    <xf numFmtId="164" fontId="4" fillId="0" borderId="13" xfId="0" applyNumberFormat="1" applyFont="1" applyBorder="1" applyProtection="1">
      <protection locked="0"/>
    </xf>
    <xf numFmtId="0" fontId="14" fillId="0" borderId="0" xfId="0" applyFont="1" applyBorder="1" applyAlignment="1" applyProtection="1">
      <alignment horizontal="center"/>
    </xf>
    <xf numFmtId="0" fontId="5" fillId="0" borderId="0" xfId="0" applyFont="1" applyBorder="1" applyAlignment="1" applyProtection="1">
      <alignment horizontal="right"/>
    </xf>
    <xf numFmtId="0" fontId="5" fillId="0" borderId="0" xfId="0" applyFont="1" applyFill="1" applyBorder="1" applyAlignment="1" applyProtection="1">
      <alignment horizontal="right"/>
    </xf>
    <xf numFmtId="0" fontId="5" fillId="0" borderId="0" xfId="0" applyFont="1" applyBorder="1" applyAlignment="1" applyProtection="1">
      <alignment wrapText="1"/>
    </xf>
    <xf numFmtId="3" fontId="5" fillId="0" borderId="0" xfId="0" applyNumberFormat="1" applyFont="1" applyFill="1" applyBorder="1" applyProtection="1"/>
    <xf numFmtId="0" fontId="5" fillId="0" borderId="9" xfId="0" applyFont="1" applyBorder="1" applyAlignment="1" applyProtection="1">
      <alignment horizontal="left" wrapText="1"/>
    </xf>
    <xf numFmtId="0" fontId="4" fillId="0" borderId="5" xfId="0" applyFont="1" applyBorder="1" applyAlignment="1" applyProtection="1">
      <alignment wrapText="1"/>
    </xf>
    <xf numFmtId="0" fontId="4" fillId="0" borderId="9" xfId="0" applyFont="1" applyBorder="1" applyAlignment="1" applyProtection="1">
      <alignment wrapText="1"/>
    </xf>
    <xf numFmtId="6" fontId="4" fillId="3" borderId="11" xfId="0" applyNumberFormat="1" applyFont="1" applyFill="1" applyBorder="1" applyProtection="1"/>
    <xf numFmtId="0" fontId="5" fillId="0" borderId="5" xfId="0" applyFont="1" applyBorder="1" applyAlignment="1" applyProtection="1">
      <alignment horizontal="left" wrapText="1"/>
    </xf>
    <xf numFmtId="169" fontId="5" fillId="3" borderId="0" xfId="0" applyNumberFormat="1" applyFont="1" applyFill="1" applyBorder="1" applyProtection="1"/>
    <xf numFmtId="164" fontId="13" fillId="3" borderId="19" xfId="0" applyNumberFormat="1" applyFont="1" applyFill="1" applyBorder="1" applyProtection="1"/>
    <xf numFmtId="38" fontId="5" fillId="0" borderId="0" xfId="0" applyNumberFormat="1" applyFont="1" applyFill="1" applyBorder="1" applyProtection="1"/>
    <xf numFmtId="168" fontId="5" fillId="2" borderId="0" xfId="1" applyNumberFormat="1" applyFont="1" applyFill="1" applyBorder="1" applyProtection="1"/>
    <xf numFmtId="3" fontId="5" fillId="3" borderId="0" xfId="0" applyNumberFormat="1" applyFont="1" applyFill="1" applyBorder="1" applyProtection="1"/>
    <xf numFmtId="170" fontId="5" fillId="3" borderId="0" xfId="0" applyNumberFormat="1" applyFont="1" applyFill="1" applyBorder="1" applyProtection="1"/>
    <xf numFmtId="0" fontId="12" fillId="4" borderId="2" xfId="0" applyFont="1" applyFill="1" applyBorder="1" applyAlignment="1" applyProtection="1">
      <alignment horizontal="left" wrapText="1"/>
    </xf>
    <xf numFmtId="164" fontId="12" fillId="4" borderId="4" xfId="0" applyNumberFormat="1" applyFont="1" applyFill="1" applyBorder="1" applyAlignment="1" applyProtection="1">
      <alignment horizontal="left"/>
    </xf>
    <xf numFmtId="3" fontId="4" fillId="0" borderId="0" xfId="0" applyNumberFormat="1" applyFont="1" applyBorder="1" applyProtection="1"/>
    <xf numFmtId="3" fontId="5" fillId="0" borderId="0" xfId="0" applyNumberFormat="1" applyFont="1" applyBorder="1" applyAlignment="1" applyProtection="1">
      <alignment horizontal="right"/>
    </xf>
    <xf numFmtId="0" fontId="5" fillId="0" borderId="0" xfId="0" applyFont="1" applyBorder="1" applyProtection="1"/>
    <xf numFmtId="0" fontId="4" fillId="0" borderId="0" xfId="0" applyFont="1" applyProtection="1"/>
    <xf numFmtId="3" fontId="5" fillId="0" borderId="0" xfId="0" applyNumberFormat="1" applyFont="1" applyBorder="1" applyProtection="1"/>
    <xf numFmtId="0" fontId="5" fillId="0" borderId="0" xfId="0" applyFont="1" applyProtection="1"/>
    <xf numFmtId="165" fontId="5" fillId="0" borderId="0" xfId="0" applyNumberFormat="1" applyFont="1" applyFill="1" applyBorder="1" applyProtection="1"/>
    <xf numFmtId="165" fontId="5" fillId="0" borderId="0" xfId="0" applyNumberFormat="1" applyFont="1" applyBorder="1" applyProtection="1"/>
    <xf numFmtId="0" fontId="5" fillId="0" borderId="1" xfId="0" applyFont="1" applyBorder="1" applyAlignment="1" applyProtection="1">
      <alignment wrapText="1"/>
    </xf>
    <xf numFmtId="0" fontId="5" fillId="0" borderId="1" xfId="0" applyFont="1" applyBorder="1" applyAlignment="1" applyProtection="1">
      <alignment horizontal="right"/>
    </xf>
    <xf numFmtId="3" fontId="5" fillId="0" borderId="1" xfId="0" applyNumberFormat="1" applyFont="1" applyBorder="1" applyAlignment="1" applyProtection="1">
      <alignment horizontal="center"/>
    </xf>
    <xf numFmtId="0" fontId="3" fillId="0" borderId="0" xfId="0" applyFont="1" applyProtection="1"/>
    <xf numFmtId="0" fontId="11" fillId="4" borderId="2" xfId="0" applyFont="1" applyFill="1" applyBorder="1" applyAlignment="1" applyProtection="1">
      <alignment wrapText="1"/>
    </xf>
    <xf numFmtId="0" fontId="4" fillId="4" borderId="3" xfId="0" applyFont="1" applyFill="1" applyBorder="1" applyProtection="1"/>
    <xf numFmtId="0" fontId="4" fillId="4" borderId="4" xfId="0" applyFont="1" applyFill="1" applyBorder="1" applyProtection="1"/>
    <xf numFmtId="0" fontId="4" fillId="3" borderId="0" xfId="0" applyFont="1" applyFill="1" applyBorder="1" applyProtection="1"/>
    <xf numFmtId="0" fontId="4" fillId="0" borderId="6" xfId="0" applyFont="1" applyBorder="1" applyProtection="1"/>
    <xf numFmtId="0" fontId="4" fillId="0" borderId="0" xfId="0" applyFont="1" applyBorder="1" applyProtection="1"/>
    <xf numFmtId="0" fontId="4" fillId="0" borderId="11" xfId="0" applyFont="1" applyBorder="1" applyProtection="1"/>
    <xf numFmtId="0" fontId="12" fillId="4" borderId="19" xfId="0" applyFont="1" applyFill="1" applyBorder="1" applyAlignment="1" applyProtection="1">
      <alignment horizontal="left" wrapText="1"/>
    </xf>
    <xf numFmtId="0" fontId="13" fillId="4" borderId="19" xfId="0" applyFont="1" applyFill="1" applyBorder="1" applyAlignment="1" applyProtection="1">
      <alignment horizontal="center" wrapText="1"/>
    </xf>
    <xf numFmtId="3" fontId="12" fillId="4" borderId="1" xfId="0" applyNumberFormat="1" applyFont="1" applyFill="1" applyBorder="1" applyAlignment="1" applyProtection="1">
      <alignment horizontal="center" wrapText="1"/>
    </xf>
    <xf numFmtId="0" fontId="12" fillId="4" borderId="19" xfId="0" applyFont="1" applyFill="1" applyBorder="1" applyAlignment="1" applyProtection="1">
      <alignment horizontal="center" wrapText="1"/>
    </xf>
    <xf numFmtId="166" fontId="5" fillId="0" borderId="0" xfId="0" applyNumberFormat="1" applyFont="1" applyFill="1" applyBorder="1" applyProtection="1"/>
    <xf numFmtId="0" fontId="13" fillId="0" borderId="19" xfId="0" applyFont="1" applyBorder="1" applyAlignment="1" applyProtection="1">
      <alignment horizontal="left" wrapText="1"/>
    </xf>
    <xf numFmtId="0" fontId="14" fillId="0" borderId="19" xfId="0" applyFont="1" applyBorder="1" applyAlignment="1" applyProtection="1">
      <alignment horizontal="center"/>
    </xf>
    <xf numFmtId="0" fontId="14" fillId="0" borderId="19" xfId="0" applyFont="1" applyBorder="1" applyProtection="1"/>
    <xf numFmtId="0" fontId="14" fillId="0" borderId="19" xfId="0" applyFont="1" applyBorder="1" applyAlignment="1" applyProtection="1">
      <alignment horizontal="right"/>
    </xf>
    <xf numFmtId="2" fontId="14" fillId="0" borderId="19" xfId="0" applyNumberFormat="1" applyFont="1" applyBorder="1" applyProtection="1"/>
    <xf numFmtId="0" fontId="13" fillId="0" borderId="0" xfId="0" applyFont="1" applyBorder="1" applyAlignment="1" applyProtection="1">
      <alignment horizontal="left" wrapText="1"/>
    </xf>
    <xf numFmtId="3" fontId="5" fillId="0" borderId="1" xfId="0" applyNumberFormat="1" applyFont="1" applyBorder="1" applyProtection="1"/>
    <xf numFmtId="2" fontId="5" fillId="0" borderId="1" xfId="0" applyNumberFormat="1" applyFont="1" applyBorder="1" applyProtection="1"/>
    <xf numFmtId="3" fontId="13" fillId="0" borderId="1" xfId="0" applyNumberFormat="1" applyFont="1" applyBorder="1" applyProtection="1"/>
    <xf numFmtId="0" fontId="13" fillId="0" borderId="19" xfId="0" applyFont="1" applyBorder="1" applyAlignment="1" applyProtection="1">
      <alignment wrapText="1"/>
    </xf>
    <xf numFmtId="0" fontId="13" fillId="0" borderId="19" xfId="0" applyFont="1" applyBorder="1" applyAlignment="1" applyProtection="1">
      <alignment horizontal="right"/>
    </xf>
    <xf numFmtId="0" fontId="13" fillId="0" borderId="19" xfId="0" applyFont="1" applyBorder="1" applyProtection="1"/>
    <xf numFmtId="4" fontId="13" fillId="0" borderId="19" xfId="0" applyNumberFormat="1" applyFont="1" applyFill="1" applyBorder="1" applyProtection="1"/>
    <xf numFmtId="0" fontId="14" fillId="0" borderId="0" xfId="0" quotePrefix="1" applyFont="1" applyBorder="1" applyAlignment="1" applyProtection="1">
      <alignment horizontal="center"/>
    </xf>
    <xf numFmtId="0" fontId="12" fillId="0" borderId="19" xfId="0" applyFont="1" applyBorder="1" applyAlignment="1" applyProtection="1">
      <alignment wrapText="1"/>
    </xf>
    <xf numFmtId="3" fontId="13" fillId="0" borderId="19" xfId="0" applyNumberFormat="1" applyFont="1" applyFill="1" applyBorder="1" applyProtection="1"/>
    <xf numFmtId="0" fontId="5" fillId="0" borderId="19" xfId="0" applyFont="1" applyBorder="1" applyAlignment="1" applyProtection="1">
      <alignment wrapText="1"/>
    </xf>
    <xf numFmtId="2" fontId="13" fillId="0" borderId="19" xfId="0" applyNumberFormat="1" applyFont="1" applyBorder="1" applyProtection="1"/>
    <xf numFmtId="0" fontId="5" fillId="0" borderId="0" xfId="0" applyFont="1" applyAlignment="1" applyProtection="1">
      <alignment wrapText="1"/>
    </xf>
    <xf numFmtId="2" fontId="5" fillId="0" borderId="0" xfId="0" applyNumberFormat="1" applyFont="1" applyBorder="1" applyProtection="1"/>
    <xf numFmtId="169" fontId="5" fillId="0" borderId="0" xfId="0" applyNumberFormat="1" applyFont="1" applyBorder="1" applyProtection="1"/>
    <xf numFmtId="2" fontId="5" fillId="0" borderId="0" xfId="0" applyNumberFormat="1" applyFont="1" applyFill="1" applyBorder="1" applyProtection="1"/>
    <xf numFmtId="2" fontId="5" fillId="0" borderId="0" xfId="0" applyNumberFormat="1" applyFont="1" applyFill="1" applyBorder="1" applyAlignment="1" applyProtection="1">
      <alignment horizontal="right"/>
    </xf>
    <xf numFmtId="164" fontId="4" fillId="0" borderId="0" xfId="0" applyNumberFormat="1" applyFont="1" applyProtection="1"/>
    <xf numFmtId="0" fontId="5" fillId="0" borderId="6" xfId="0" applyFont="1" applyBorder="1" applyAlignment="1" applyProtection="1">
      <alignment horizontal="left"/>
      <protection locked="0"/>
    </xf>
    <xf numFmtId="10" fontId="5" fillId="2" borderId="0" xfId="2" applyNumberFormat="1" applyFont="1" applyFill="1" applyBorder="1" applyAlignment="1" applyProtection="1">
      <alignment horizontal="right"/>
    </xf>
    <xf numFmtId="0" fontId="8" fillId="5" borderId="13" xfId="0" applyFont="1" applyFill="1" applyBorder="1" applyAlignment="1" applyProtection="1">
      <alignment horizontal="center"/>
      <protection locked="0"/>
    </xf>
    <xf numFmtId="0" fontId="4" fillId="5" borderId="13" xfId="0" applyFont="1" applyFill="1" applyBorder="1" applyProtection="1">
      <protection locked="0"/>
    </xf>
    <xf numFmtId="164" fontId="4" fillId="5" borderId="13" xfId="0" applyNumberFormat="1" applyFont="1" applyFill="1" applyBorder="1" applyProtection="1">
      <protection locked="0"/>
    </xf>
    <xf numFmtId="164" fontId="4" fillId="5" borderId="20" xfId="0" applyNumberFormat="1" applyFont="1" applyFill="1" applyBorder="1" applyProtection="1">
      <protection locked="0"/>
    </xf>
    <xf numFmtId="0" fontId="4" fillId="0" borderId="9" xfId="0" applyFont="1" applyBorder="1" applyAlignment="1" applyProtection="1">
      <alignment vertical="top" wrapText="1"/>
    </xf>
    <xf numFmtId="0" fontId="4" fillId="0" borderId="0" xfId="0" applyFont="1" applyAlignment="1" applyProtection="1">
      <alignment wrapText="1"/>
    </xf>
    <xf numFmtId="0" fontId="12" fillId="4" borderId="4" xfId="0" applyFont="1" applyFill="1" applyBorder="1" applyAlignment="1" applyProtection="1">
      <alignment horizontal="left"/>
    </xf>
    <xf numFmtId="4" fontId="5" fillId="3" borderId="0" xfId="0" applyNumberFormat="1" applyFont="1" applyFill="1" applyBorder="1" applyProtection="1"/>
    <xf numFmtId="0" fontId="12" fillId="0" borderId="0" xfId="0" applyFont="1" applyFill="1" applyBorder="1" applyAlignment="1" applyProtection="1">
      <alignment horizontal="center"/>
    </xf>
    <xf numFmtId="8" fontId="13" fillId="3" borderId="19" xfId="0" applyNumberFormat="1" applyFont="1" applyFill="1" applyBorder="1" applyProtection="1"/>
    <xf numFmtId="0" fontId="5" fillId="0" borderId="0" xfId="0" applyFont="1" applyFill="1" applyBorder="1" applyProtection="1"/>
    <xf numFmtId="0" fontId="4" fillId="0" borderId="10" xfId="0" applyFont="1" applyFill="1" applyBorder="1" applyProtection="1">
      <protection locked="0"/>
    </xf>
    <xf numFmtId="168" fontId="4" fillId="3" borderId="6" xfId="0" applyNumberFormat="1" applyFont="1" applyFill="1" applyBorder="1" applyProtection="1"/>
    <xf numFmtId="173" fontId="13" fillId="3" borderId="13" xfId="2" applyNumberFormat="1" applyFont="1" applyFill="1" applyBorder="1" applyAlignment="1" applyProtection="1">
      <alignment horizontal="right"/>
    </xf>
    <xf numFmtId="173" fontId="13" fillId="3" borderId="0" xfId="2" applyNumberFormat="1" applyFont="1" applyFill="1" applyBorder="1" applyAlignment="1" applyProtection="1">
      <alignment horizontal="right"/>
    </xf>
    <xf numFmtId="0" fontId="18" fillId="0" borderId="0" xfId="0" applyFont="1"/>
    <xf numFmtId="0" fontId="19" fillId="0" borderId="0" xfId="0" applyFont="1" applyAlignment="1" applyProtection="1"/>
    <xf numFmtId="0" fontId="19" fillId="0" borderId="0" xfId="0" applyFont="1" applyAlignment="1" applyProtection="1">
      <alignment horizontal="left"/>
    </xf>
    <xf numFmtId="176" fontId="19" fillId="0" borderId="24" xfId="0" applyNumberFormat="1" applyFont="1" applyFill="1" applyBorder="1" applyProtection="1"/>
    <xf numFmtId="1" fontId="19" fillId="0" borderId="24" xfId="0" applyNumberFormat="1" applyFont="1" applyFill="1" applyBorder="1" applyProtection="1"/>
    <xf numFmtId="3" fontId="19" fillId="0" borderId="24" xfId="0" applyNumberFormat="1" applyFont="1" applyFill="1" applyBorder="1" applyProtection="1"/>
    <xf numFmtId="1" fontId="19" fillId="0" borderId="24" xfId="0" applyNumberFormat="1" applyFont="1" applyBorder="1" applyProtection="1"/>
    <xf numFmtId="3" fontId="0" fillId="0" borderId="0" xfId="0" applyNumberFormat="1"/>
    <xf numFmtId="176" fontId="19" fillId="0" borderId="0" xfId="0" applyNumberFormat="1" applyFont="1" applyFill="1" applyBorder="1" applyProtection="1"/>
    <xf numFmtId="1" fontId="19" fillId="0" borderId="0" xfId="0" applyNumberFormat="1" applyFont="1" applyFill="1" applyBorder="1" applyProtection="1"/>
    <xf numFmtId="3" fontId="19" fillId="0" borderId="0" xfId="0" applyNumberFormat="1" applyFont="1" applyFill="1" applyBorder="1" applyProtection="1"/>
    <xf numFmtId="1" fontId="19" fillId="0" borderId="0" xfId="0" applyNumberFormat="1" applyFont="1" applyBorder="1" applyProtection="1"/>
    <xf numFmtId="164" fontId="12" fillId="4" borderId="2" xfId="0" applyNumberFormat="1" applyFont="1" applyFill="1" applyBorder="1" applyAlignment="1" applyProtection="1">
      <alignment horizontal="left"/>
    </xf>
    <xf numFmtId="6" fontId="5" fillId="3" borderId="9" xfId="0" applyNumberFormat="1" applyFont="1" applyFill="1" applyBorder="1" applyProtection="1"/>
    <xf numFmtId="168" fontId="4" fillId="3" borderId="5" xfId="0" applyNumberFormat="1" applyFont="1" applyFill="1" applyBorder="1" applyProtection="1"/>
    <xf numFmtId="6" fontId="4" fillId="3" borderId="9" xfId="0" applyNumberFormat="1" applyFont="1" applyFill="1" applyBorder="1" applyProtection="1"/>
    <xf numFmtId="0" fontId="12" fillId="4" borderId="2" xfId="0" applyFont="1" applyFill="1" applyBorder="1" applyAlignment="1" applyProtection="1">
      <alignment horizontal="left"/>
    </xf>
    <xf numFmtId="6" fontId="5" fillId="3" borderId="5" xfId="0" applyNumberFormat="1" applyFont="1" applyFill="1" applyBorder="1" applyProtection="1"/>
    <xf numFmtId="168" fontId="5" fillId="0" borderId="0" xfId="1" applyNumberFormat="1" applyFont="1" applyProtection="1"/>
    <xf numFmtId="9" fontId="0" fillId="0" borderId="0" xfId="0" applyNumberFormat="1"/>
    <xf numFmtId="169" fontId="4" fillId="0" borderId="0" xfId="0" applyNumberFormat="1" applyFont="1" applyProtection="1"/>
    <xf numFmtId="164" fontId="4" fillId="0" borderId="0" xfId="0" applyNumberFormat="1" applyFont="1"/>
  </cellXfs>
  <cellStyles count="3">
    <cellStyle name="Normal" xfId="0" builtinId="0"/>
    <cellStyle name="Normal 2" xfId="2"/>
    <cellStyle name="Procent" xfId="1" builtinId="5"/>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0</xdr:colOff>
      <xdr:row>2</xdr:row>
      <xdr:rowOff>0</xdr:rowOff>
    </xdr:from>
    <xdr:ext cx="7953374" cy="3228975"/>
    <xdr:sp macro="" textlink="">
      <xdr:nvSpPr>
        <xdr:cNvPr id="2" name="textruta 1">
          <a:extLst>
            <a:ext uri="{FF2B5EF4-FFF2-40B4-BE49-F238E27FC236}">
              <a16:creationId xmlns:a16="http://schemas.microsoft.com/office/drawing/2014/main" id="{00000000-0008-0000-0000-000002000000}"/>
            </a:ext>
          </a:extLst>
        </xdr:cNvPr>
        <xdr:cNvSpPr txBox="1"/>
      </xdr:nvSpPr>
      <xdr:spPr>
        <a:xfrm>
          <a:off x="0" y="533400"/>
          <a:ext cx="7953374" cy="3228975"/>
        </a:xfrm>
        <a:prstGeom prst="rect">
          <a:avLst/>
        </a:prstGeom>
        <a:solidFill>
          <a:schemeClr val="accent4">
            <a:lumMod val="40000"/>
            <a:lumOff val="60000"/>
          </a:schemeClr>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sv-SE" sz="1600" b="1">
              <a:solidFill>
                <a:schemeClr val="tx1"/>
              </a:solidFill>
              <a:effectLst/>
              <a:latin typeface="Cambria" panose="02040503050406030204" pitchFamily="18" charset="0"/>
              <a:ea typeface="+mn-ea"/>
              <a:cs typeface="+mn-cs"/>
            </a:rPr>
            <a:t>Anvisningar</a:t>
          </a:r>
        </a:p>
        <a:p>
          <a:pPr marL="0" marR="0" indent="0" defTabSz="914400" eaLnBrk="1" fontAlgn="auto" latinLnBrk="0" hangingPunct="1">
            <a:lnSpc>
              <a:spcPct val="100000"/>
            </a:lnSpc>
            <a:spcBef>
              <a:spcPts val="0"/>
            </a:spcBef>
            <a:spcAft>
              <a:spcPts val="0"/>
            </a:spcAft>
            <a:buClrTx/>
            <a:buSzTx/>
            <a:buFontTx/>
            <a:buNone/>
            <a:tabLst/>
            <a:defRPr/>
          </a:pPr>
          <a:endParaRPr lang="sv-SE" sz="900" b="1">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050" b="0">
              <a:solidFill>
                <a:schemeClr val="tx1"/>
              </a:solidFill>
              <a:effectLst/>
              <a:latin typeface="Cambria" panose="02040503050406030204" pitchFamily="18" charset="0"/>
              <a:ea typeface="+mn-ea"/>
              <a:cs typeface="+mn-cs"/>
            </a:rPr>
            <a:t>I</a:t>
          </a:r>
          <a:r>
            <a:rPr lang="sv-SE" sz="1050" b="0" baseline="0">
              <a:solidFill>
                <a:schemeClr val="tx1"/>
              </a:solidFill>
              <a:effectLst/>
              <a:latin typeface="Cambria" panose="02040503050406030204" pitchFamily="18" charset="0"/>
              <a:ea typeface="+mn-ea"/>
              <a:cs typeface="+mn-cs"/>
            </a:rPr>
            <a:t> </a:t>
          </a:r>
          <a:r>
            <a:rPr lang="sv-SE" sz="1100" b="0" baseline="0">
              <a:solidFill>
                <a:schemeClr val="tx1"/>
              </a:solidFill>
              <a:effectLst/>
              <a:latin typeface="Cambria" panose="02040503050406030204" pitchFamily="18" charset="0"/>
              <a:ea typeface="+mn-ea"/>
              <a:cs typeface="+mn-cs"/>
            </a:rPr>
            <a:t>denna kalkylmall gör du</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mn-lt"/>
              <a:ea typeface="+mn-ea"/>
              <a:cs typeface="+mn-cs"/>
            </a:rPr>
            <a:t>- </a:t>
          </a:r>
          <a:r>
            <a:rPr lang="sv-SE" sz="1100" b="0" baseline="0">
              <a:solidFill>
                <a:schemeClr val="tx1"/>
              </a:solidFill>
              <a:effectLst/>
              <a:latin typeface="Cambria" panose="02040503050406030204" pitchFamily="18" charset="0"/>
              <a:ea typeface="+mn-ea"/>
              <a:cs typeface="+mn-cs"/>
            </a:rPr>
            <a:t>investeringskalkyl</a:t>
          </a:r>
          <a:endParaRPr lang="sv-SE">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 driftkalkyl för 12 månader</a:t>
          </a: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1) Börja med att fylla i fliken "Investeringskalkyl"</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2) Fyll därefter i driftkalkylen. Det finns en flik för varje produktionsgren. Välj den som är aktuell. Övriga flikar kan du ta bort. </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     - Avskrivningar och ränta beräknas automatiskt med hjälp av de uppgifter du skrivit in i fliken "Investeringskalkyl".</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3) När du fyllt i driftkalkylen för aktuellt djurslag så kommer investeringskalkylen att beräknas Fyll sedan i investeringskalkylen</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     - Investeringskalkylen bygger på de uppgifter du lagt in i fliken "Investeringsutgift" och fliken "Driftkalkyl" för aktuellt djurslag. </a:t>
          </a:r>
        </a:p>
        <a:p>
          <a:pPr marL="0" marR="0" indent="0" defTabSz="914400" eaLnBrk="1" fontAlgn="auto" latinLnBrk="0" hangingPunct="1">
            <a:lnSpc>
              <a:spcPct val="100000"/>
            </a:lnSpc>
            <a:spcBef>
              <a:spcPts val="0"/>
            </a:spcBef>
            <a:spcAft>
              <a:spcPts val="0"/>
            </a:spcAft>
            <a:buClrTx/>
            <a:buSzTx/>
            <a:buFontTx/>
            <a:buNone/>
            <a:tabLst/>
            <a:defRPr/>
          </a:pPr>
          <a:endParaRPr lang="sv-SE" sz="105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050" b="0" baseline="0">
              <a:solidFill>
                <a:schemeClr val="tx1"/>
              </a:solidFill>
              <a:effectLst/>
              <a:latin typeface="Cambria" panose="02040503050406030204" pitchFamily="18" charset="0"/>
              <a:ea typeface="+mn-ea"/>
              <a:cs typeface="+mn-cs"/>
            </a:rPr>
            <a:t>Kalkylbladen är låsta för att du inte ska råka ändra några formler av misstag. Det går att låsa upp dem under fliken "Granska" och klicka på "Ta bort bladets skydd". Det behövs inget lösenord för att låsa upp kalkylbladen. </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6</xdr:col>
      <xdr:colOff>323850</xdr:colOff>
      <xdr:row>0</xdr:row>
      <xdr:rowOff>152399</xdr:rowOff>
    </xdr:from>
    <xdr:ext cx="7267575" cy="20678776"/>
    <xdr:sp macro="" textlink="">
      <xdr:nvSpPr>
        <xdr:cNvPr id="2" name="textruta 1">
          <a:extLst>
            <a:ext uri="{FF2B5EF4-FFF2-40B4-BE49-F238E27FC236}">
              <a16:creationId xmlns:a16="http://schemas.microsoft.com/office/drawing/2014/main" id="{00000000-0008-0000-0100-000002000000}"/>
            </a:ext>
          </a:extLst>
        </xdr:cNvPr>
        <xdr:cNvSpPr txBox="1"/>
      </xdr:nvSpPr>
      <xdr:spPr>
        <a:xfrm>
          <a:off x="7496175" y="152399"/>
          <a:ext cx="7267575" cy="20678776"/>
        </a:xfrm>
        <a:prstGeom prst="rect">
          <a:avLst/>
        </a:prstGeom>
        <a:solidFill>
          <a:schemeClr val="accent4">
            <a:lumMod val="40000"/>
            <a:lumOff val="60000"/>
          </a:schemeClr>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sv-SE" sz="1600" b="1">
              <a:solidFill>
                <a:schemeClr val="tx1"/>
              </a:solidFill>
              <a:effectLst/>
              <a:latin typeface="Cambria" panose="02040503050406030204" pitchFamily="18" charset="0"/>
              <a:ea typeface="+mn-ea"/>
              <a:cs typeface="+mn-cs"/>
            </a:rPr>
            <a:t>Anvisningar</a:t>
          </a:r>
        </a:p>
        <a:p>
          <a:pPr eaLnBrk="1" fontAlgn="auto" latinLnBrk="0" hangingPunct="1"/>
          <a:endParaRPr lang="sv-SE" sz="900" b="1">
            <a:solidFill>
              <a:schemeClr val="tx1"/>
            </a:solidFill>
            <a:effectLst/>
            <a:latin typeface="Cambria" panose="02040503050406030204" pitchFamily="18" charset="0"/>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Automatiska</a:t>
          </a:r>
          <a:r>
            <a:rPr lang="sv-SE" sz="1100" b="1" baseline="0">
              <a:solidFill>
                <a:schemeClr val="tx1"/>
              </a:solidFill>
              <a:effectLst/>
              <a:latin typeface="Cambria" panose="02040503050406030204" pitchFamily="18" charset="0"/>
              <a:ea typeface="+mn-ea"/>
              <a:cs typeface="+mn-cs"/>
            </a:rPr>
            <a:t> beräkningar</a:t>
          </a:r>
          <a:endParaRPr lang="sv-SE" sz="1100">
            <a:effectLst/>
            <a:latin typeface="Cambria" panose="02040503050406030204" pitchFamily="18" charset="0"/>
          </a:endParaRPr>
        </a:p>
        <a:p>
          <a:r>
            <a:rPr lang="sv-SE" sz="1100" b="0">
              <a:solidFill>
                <a:schemeClr val="tx1"/>
              </a:solidFill>
              <a:effectLst/>
              <a:latin typeface="Cambria" panose="02040503050406030204" pitchFamily="18" charset="0"/>
              <a:ea typeface="+mn-ea"/>
              <a:cs typeface="+mn-cs"/>
            </a:rPr>
            <a:t>Celler</a:t>
          </a:r>
          <a:r>
            <a:rPr lang="sv-SE" sz="1100" b="0" baseline="0">
              <a:solidFill>
                <a:schemeClr val="tx1"/>
              </a:solidFill>
              <a:effectLst/>
              <a:latin typeface="Cambria" panose="02040503050406030204" pitchFamily="18" charset="0"/>
              <a:ea typeface="+mn-ea"/>
              <a:cs typeface="+mn-cs"/>
            </a:rPr>
            <a:t> som är markerade med ljusgrön bakgrund beräknas automatiskt. </a:t>
          </a:r>
          <a:endParaRPr lang="sv-SE" sz="1100" b="0">
            <a:solidFill>
              <a:schemeClr val="tx1"/>
            </a:solidFill>
            <a:effectLst/>
            <a:latin typeface="Cambria" panose="02040503050406030204" pitchFamily="18" charset="0"/>
            <a:ea typeface="+mn-ea"/>
            <a:cs typeface="+mn-cs"/>
          </a:endParaRPr>
        </a:p>
        <a:p>
          <a:endParaRPr lang="sv-SE" sz="1100" b="1">
            <a:solidFill>
              <a:schemeClr val="tx1"/>
            </a:solidFill>
            <a:effectLst/>
            <a:latin typeface="Cambria" panose="02040503050406030204" pitchFamily="18" charset="0"/>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Ange</a:t>
          </a:r>
          <a:r>
            <a:rPr lang="sv-SE" sz="1100" b="1" baseline="0">
              <a:solidFill>
                <a:schemeClr val="tx1"/>
              </a:solidFill>
              <a:effectLst/>
              <a:latin typeface="Cambria" panose="02040503050406030204" pitchFamily="18" charset="0"/>
              <a:ea typeface="+mn-ea"/>
              <a:cs typeface="+mn-cs"/>
            </a:rPr>
            <a:t> typ av stall</a:t>
          </a:r>
          <a:endParaRPr lang="sv-SE" sz="1100">
            <a:effectLst/>
            <a:latin typeface="Cambria" panose="02040503050406030204" pitchFamily="18" charset="0"/>
          </a:endParaRPr>
        </a:p>
        <a:p>
          <a:pPr eaLnBrk="1" fontAlgn="auto" latinLnBrk="0" hangingPunct="1"/>
          <a:r>
            <a:rPr lang="sv-SE" sz="1100" b="0">
              <a:solidFill>
                <a:schemeClr val="tx1"/>
              </a:solidFill>
              <a:effectLst/>
              <a:latin typeface="Cambria" panose="02040503050406030204" pitchFamily="18" charset="0"/>
              <a:ea typeface="+mn-ea"/>
              <a:cs typeface="+mn-cs"/>
            </a:rPr>
            <a:t>Rad 2: Beskriv vad det är</a:t>
          </a:r>
          <a:r>
            <a:rPr lang="sv-SE" sz="1100" b="0" baseline="0">
              <a:solidFill>
                <a:schemeClr val="tx1"/>
              </a:solidFill>
              <a:effectLst/>
              <a:latin typeface="Cambria" panose="02040503050406030204" pitchFamily="18" charset="0"/>
              <a:ea typeface="+mn-ea"/>
              <a:cs typeface="+mn-cs"/>
            </a:rPr>
            <a:t> för typ av stall konceptet avser. T.ex. Stall för slaktgrisproduktion </a:t>
          </a:r>
        </a:p>
        <a:p>
          <a:pPr eaLnBrk="1" fontAlgn="auto" latinLnBrk="0" hangingPunct="1"/>
          <a:endParaRPr lang="sv-SE" sz="1100">
            <a:effectLst/>
            <a:latin typeface="Cambria" panose="02040503050406030204" pitchFamily="18" charset="0"/>
          </a:endParaRPr>
        </a:p>
        <a:p>
          <a:pPr eaLnBrk="1" fontAlgn="auto" latinLnBrk="0" hangingPunct="1"/>
          <a:r>
            <a:rPr lang="sv-SE" sz="1100" b="1">
              <a:solidFill>
                <a:schemeClr val="tx1"/>
              </a:solidFill>
              <a:effectLst/>
              <a:latin typeface="Cambria" panose="02040503050406030204" pitchFamily="18" charset="0"/>
              <a:ea typeface="+mn-ea"/>
              <a:cs typeface="+mn-cs"/>
            </a:rPr>
            <a:t>Utvecklingsgrupp</a:t>
          </a:r>
          <a:endParaRPr lang="sv-SE" sz="1100">
            <a:effectLst/>
            <a:latin typeface="Cambria" panose="02040503050406030204" pitchFamily="18" charset="0"/>
          </a:endParaRPr>
        </a:p>
        <a:p>
          <a:pPr eaLnBrk="1" fontAlgn="auto" latinLnBrk="0" hangingPunct="1"/>
          <a:r>
            <a:rPr lang="sv-SE" sz="1100" b="0">
              <a:solidFill>
                <a:schemeClr val="tx1"/>
              </a:solidFill>
              <a:effectLst/>
              <a:latin typeface="Cambria" panose="02040503050406030204" pitchFamily="18" charset="0"/>
              <a:ea typeface="+mn-ea"/>
              <a:cs typeface="+mn-cs"/>
            </a:rPr>
            <a:t>Skriv in namn</a:t>
          </a:r>
          <a:r>
            <a:rPr lang="sv-SE" sz="1100" b="0" baseline="0">
              <a:solidFill>
                <a:schemeClr val="tx1"/>
              </a:solidFill>
              <a:effectLst/>
              <a:latin typeface="Cambria" panose="02040503050406030204" pitchFamily="18" charset="0"/>
              <a:ea typeface="+mn-ea"/>
              <a:cs typeface="+mn-cs"/>
            </a:rPr>
            <a:t> och organisation på de personer som ingår i utvecklingsgruppen som tagit fram konceptet. </a:t>
          </a:r>
          <a:endParaRPr lang="sv-SE" sz="1100">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eaLnBrk="1" fontAlgn="auto" latinLnBrk="0" hangingPunct="1"/>
          <a:r>
            <a:rPr lang="sv-SE" sz="1100" b="1" u="sng" baseline="0">
              <a:solidFill>
                <a:schemeClr val="tx1"/>
              </a:solidFill>
              <a:effectLst/>
              <a:latin typeface="Cambria" panose="02040503050406030204" pitchFamily="18" charset="0"/>
              <a:ea typeface="+mn-ea"/>
              <a:cs typeface="+mn-cs"/>
            </a:rPr>
            <a:t>GRUNDDATA </a:t>
          </a:r>
        </a:p>
        <a:p>
          <a:pPr eaLnBrk="1" fontAlgn="auto" latinLnBrk="0" hangingPunct="1"/>
          <a:r>
            <a:rPr lang="sv-SE" sz="1100" b="1" baseline="0">
              <a:solidFill>
                <a:schemeClr val="tx1"/>
              </a:solidFill>
              <a:effectLst/>
              <a:latin typeface="Cambria" panose="02040503050406030204" pitchFamily="18" charset="0"/>
              <a:ea typeface="+mn-ea"/>
              <a:cs typeface="+mn-cs"/>
            </a:rPr>
            <a:t>Antal djurplatser</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Ange hur många djurplatser stallet är dimensionerat för. </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T.ex. </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 X mjölkkor</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 Y suggor </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 Z slakgrisar</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Denna uppgift används för att räkna ut investeringsutgiften per djurplats. Det är därför viktigt att du anger antalet djurplatser med samma enhet som framgår av kraven på maximal investeringsutgift, se "Investeringsutgift per djurplats" nedan. </a:t>
          </a:r>
        </a:p>
        <a:p>
          <a:pPr eaLnBrk="1" fontAlgn="auto" latinLnBrk="0" hangingPunct="1"/>
          <a:r>
            <a:rPr lang="sv-SE" sz="1100" b="0" baseline="0">
              <a:solidFill>
                <a:schemeClr val="tx1"/>
              </a:solidFill>
              <a:effectLst/>
              <a:latin typeface="Cambria" panose="02040503050406030204" pitchFamily="18" charset="0"/>
              <a:ea typeface="+mn-ea"/>
              <a:cs typeface="+mn-cs"/>
            </a:rPr>
            <a:t>Välj djurslag i rullistan. </a:t>
          </a:r>
          <a:endParaRPr lang="sv-SE" sz="1100">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Cambria" panose="02040503050406030204" pitchFamily="18" charset="0"/>
              <a:ea typeface="+mn-ea"/>
              <a:cs typeface="+mn-cs"/>
            </a:rPr>
            <a:t>Yta</a:t>
          </a:r>
        </a:p>
        <a:p>
          <a:pPr marL="0" marR="0" indent="0" defTabSz="914400" eaLnBrk="1" fontAlgn="auto" latinLnBrk="0" hangingPunct="1">
            <a:lnSpc>
              <a:spcPct val="100000"/>
            </a:lnSpc>
            <a:spcBef>
              <a:spcPts val="0"/>
            </a:spcBef>
            <a:spcAft>
              <a:spcPts val="0"/>
            </a:spcAft>
            <a:buClrTx/>
            <a:buSzTx/>
            <a:buFontTx/>
            <a:buNone/>
            <a:tabLst/>
            <a:defRPr/>
          </a:pPr>
          <a:r>
            <a:rPr lang="sv-SE" sz="1100" b="0">
              <a:solidFill>
                <a:schemeClr val="tx1"/>
              </a:solidFill>
              <a:effectLst/>
              <a:latin typeface="Cambria" panose="02040503050406030204" pitchFamily="18" charset="0"/>
              <a:ea typeface="+mn-ea"/>
              <a:cs typeface="+mn-cs"/>
            </a:rPr>
            <a:t>Ange</a:t>
          </a:r>
          <a:r>
            <a:rPr lang="sv-SE" sz="1100" b="0" baseline="0">
              <a:solidFill>
                <a:schemeClr val="tx1"/>
              </a:solidFill>
              <a:effectLst/>
              <a:latin typeface="Cambria" panose="02040503050406030204" pitchFamily="18" charset="0"/>
              <a:ea typeface="+mn-ea"/>
              <a:cs typeface="+mn-cs"/>
            </a:rPr>
            <a:t> ytan på stallet, serviceutrymmen respektive utrymmen för visning. </a:t>
          </a: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u="sng" baseline="0">
              <a:solidFill>
                <a:schemeClr val="tx1"/>
              </a:solidFill>
              <a:effectLst/>
              <a:latin typeface="Cambria" panose="02040503050406030204" pitchFamily="18" charset="0"/>
              <a:ea typeface="+mn-ea"/>
              <a:cs typeface="+mn-cs"/>
            </a:rPr>
            <a:t>INVESTERINGSKALKYL</a:t>
          </a:r>
        </a:p>
        <a:p>
          <a:pPr marL="0" marR="0" indent="0" defTabSz="914400" eaLnBrk="1" fontAlgn="auto" latinLnBrk="0" hangingPunct="1">
            <a:lnSpc>
              <a:spcPct val="100000"/>
            </a:lnSpc>
            <a:spcBef>
              <a:spcPts val="0"/>
            </a:spcBef>
            <a:spcAft>
              <a:spcPts val="0"/>
            </a:spcAft>
            <a:buClrTx/>
            <a:buSzTx/>
            <a:buFontTx/>
            <a:buNone/>
            <a:tabLst/>
            <a:defRPr/>
          </a:pPr>
          <a:r>
            <a:rPr lang="sv-SE" sz="1100" b="1" i="0" baseline="0">
              <a:solidFill>
                <a:schemeClr val="tx1"/>
              </a:solidFill>
              <a:effectLst/>
              <a:latin typeface="Cambria" panose="02040503050406030204" pitchFamily="18" charset="0"/>
              <a:ea typeface="+mn-ea"/>
              <a:cs typeface="+mn-cs"/>
            </a:rPr>
            <a:t>Investeringsutgift </a:t>
          </a:r>
        </a:p>
        <a:p>
          <a:pPr marL="0" marR="0" indent="0" defTabSz="914400" eaLnBrk="1" fontAlgn="auto" latinLnBrk="0" hangingPunct="1">
            <a:lnSpc>
              <a:spcPct val="100000"/>
            </a:lnSpc>
            <a:spcBef>
              <a:spcPts val="0"/>
            </a:spcBef>
            <a:spcAft>
              <a:spcPts val="0"/>
            </a:spcAft>
            <a:buClrTx/>
            <a:buSzTx/>
            <a:buFontTx/>
            <a:buNone/>
            <a:tabLst/>
            <a:defRPr/>
          </a:pPr>
          <a:r>
            <a:rPr lang="sv-SE" sz="1100" b="0" i="0" baseline="0">
              <a:solidFill>
                <a:schemeClr val="tx1"/>
              </a:solidFill>
              <a:effectLst/>
              <a:latin typeface="Cambria" panose="02040503050406030204" pitchFamily="18" charset="0"/>
              <a:ea typeface="+mn-ea"/>
              <a:cs typeface="+mn-cs"/>
            </a:rPr>
            <a:t>Beloppet hämtas när du har fyllt i uppgifter om investeringsutgift på denna flik. </a:t>
          </a:r>
        </a:p>
        <a:p>
          <a:pPr marL="0" marR="0" indent="0" defTabSz="914400" eaLnBrk="1" fontAlgn="auto" latinLnBrk="0" hangingPunct="1">
            <a:lnSpc>
              <a:spcPct val="100000"/>
            </a:lnSpc>
            <a:spcBef>
              <a:spcPts val="0"/>
            </a:spcBef>
            <a:spcAft>
              <a:spcPts val="0"/>
            </a:spcAft>
            <a:buClrTx/>
            <a:buSzTx/>
            <a:buFontTx/>
            <a:buNone/>
            <a:tabLst/>
            <a:defRPr/>
          </a:pPr>
          <a:endParaRPr lang="sv-SE" sz="1100" b="0" i="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i="0" baseline="0">
              <a:solidFill>
                <a:schemeClr val="tx1"/>
              </a:solidFill>
              <a:effectLst/>
              <a:latin typeface="Cambria" panose="02040503050406030204" pitchFamily="18" charset="0"/>
              <a:ea typeface="+mn-ea"/>
              <a:cs typeface="+mn-cs"/>
            </a:rPr>
            <a:t>Driftnetto</a:t>
          </a:r>
        </a:p>
        <a:p>
          <a:pPr marL="0" marR="0" indent="0" defTabSz="914400" eaLnBrk="1" fontAlgn="auto" latinLnBrk="0" hangingPunct="1">
            <a:lnSpc>
              <a:spcPct val="100000"/>
            </a:lnSpc>
            <a:spcBef>
              <a:spcPts val="0"/>
            </a:spcBef>
            <a:spcAft>
              <a:spcPts val="0"/>
            </a:spcAft>
            <a:buClrTx/>
            <a:buSzTx/>
            <a:buFontTx/>
            <a:buNone/>
            <a:tabLst/>
            <a:defRPr/>
          </a:pPr>
          <a:r>
            <a:rPr lang="sv-SE" sz="1100" b="0" i="0" baseline="0">
              <a:solidFill>
                <a:schemeClr val="tx1"/>
              </a:solidFill>
              <a:effectLst/>
              <a:latin typeface="Cambria" panose="02040503050406030204" pitchFamily="18" charset="0"/>
              <a:ea typeface="+mn-ea"/>
              <a:cs typeface="+mn-cs"/>
            </a:rPr>
            <a:t>Hämtas från driftskalkylen när du har fyllt i den på annan flik i kalkylmallen. </a:t>
          </a:r>
        </a:p>
        <a:p>
          <a:pPr marL="0" marR="0" indent="0" defTabSz="914400" eaLnBrk="1" fontAlgn="auto" latinLnBrk="0" hangingPunct="1">
            <a:lnSpc>
              <a:spcPct val="100000"/>
            </a:lnSpc>
            <a:spcBef>
              <a:spcPts val="0"/>
            </a:spcBef>
            <a:spcAft>
              <a:spcPts val="0"/>
            </a:spcAft>
            <a:buClrTx/>
            <a:buSzTx/>
            <a:buFontTx/>
            <a:buNone/>
            <a:tabLst/>
            <a:defRPr/>
          </a:pPr>
          <a:endParaRPr lang="sv-SE" sz="1100" b="1" i="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i="0" baseline="0">
              <a:solidFill>
                <a:schemeClr val="tx1"/>
              </a:solidFill>
              <a:effectLst/>
              <a:latin typeface="Cambria" panose="02040503050406030204" pitchFamily="18" charset="0"/>
              <a:ea typeface="+mn-ea"/>
              <a:cs typeface="+mn-cs"/>
            </a:rPr>
            <a:t>Ekonomisk livslängd </a:t>
          </a:r>
        </a:p>
        <a:p>
          <a:pPr marL="0" marR="0" indent="0" defTabSz="914400" eaLnBrk="1" fontAlgn="auto" latinLnBrk="0" hangingPunct="1">
            <a:lnSpc>
              <a:spcPct val="100000"/>
            </a:lnSpc>
            <a:spcBef>
              <a:spcPts val="0"/>
            </a:spcBef>
            <a:spcAft>
              <a:spcPts val="0"/>
            </a:spcAft>
            <a:buClrTx/>
            <a:buSzTx/>
            <a:buFontTx/>
            <a:buNone/>
            <a:tabLst/>
            <a:defRPr/>
          </a:pPr>
          <a:r>
            <a:rPr lang="sv-SE" sz="1100" i="0" baseline="0">
              <a:solidFill>
                <a:schemeClr val="tx1"/>
              </a:solidFill>
              <a:effectLst/>
              <a:latin typeface="Cambria" panose="02040503050406030204" pitchFamily="18" charset="0"/>
              <a:ea typeface="+mn-ea"/>
              <a:cs typeface="+mn-cs"/>
            </a:rPr>
            <a:t>Ange hur lång den ekonomiska livslängden är för investeringen (10-15 år beroende på konstruktion och materialval). Den ekonomiska livslängden får inte vara längre än 15 år i kalkylen. </a:t>
          </a:r>
          <a:endParaRPr lang="sv-SE" sz="1100" i="0">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r>
            <a:rPr lang="sv-SE" sz="1100" b="1" baseline="0">
              <a:solidFill>
                <a:schemeClr val="tx1"/>
              </a:solidFill>
              <a:effectLst/>
              <a:latin typeface="Cambria" panose="02040503050406030204" pitchFamily="18" charset="0"/>
              <a:ea typeface="+mn-ea"/>
              <a:cs typeface="+mn-cs"/>
            </a:rPr>
            <a:t>Hur beräknas nettonuvärdet?</a:t>
          </a:r>
          <a:endParaRPr lang="sv-SE" sz="1100">
            <a:effectLst/>
            <a:latin typeface="Cambria" panose="02040503050406030204" pitchFamily="18" charset="0"/>
          </a:endParaRPr>
        </a:p>
        <a:p>
          <a:pPr eaLnBrk="1" fontAlgn="auto" latinLnBrk="0" hangingPunct="1"/>
          <a:r>
            <a:rPr lang="sv-SE" sz="1100" baseline="0">
              <a:solidFill>
                <a:schemeClr val="tx1"/>
              </a:solidFill>
              <a:effectLst/>
              <a:latin typeface="Cambria" panose="02040503050406030204" pitchFamily="18" charset="0"/>
              <a:ea typeface="+mn-ea"/>
              <a:cs typeface="+mn-cs"/>
            </a:rPr>
            <a:t>Beräkningen av investeringens nettonuvärde sker automatiskt när du fyllt i uppgifter om investeringsutgiften samt driftkalkyl för aktuell produktionsgren. </a:t>
          </a:r>
        </a:p>
        <a:p>
          <a:pPr eaLnBrk="1" fontAlgn="auto" latinLnBrk="0" hangingPunct="1"/>
          <a:endParaRPr lang="sv-SE" sz="1100">
            <a:effectLst/>
            <a:latin typeface="Cambria" panose="02040503050406030204" pitchFamily="18" charset="0"/>
          </a:endParaRPr>
        </a:p>
        <a:p>
          <a:pPr eaLnBrk="1" fontAlgn="auto" latinLnBrk="0" hangingPunct="1"/>
          <a:r>
            <a:rPr lang="sv-SE" sz="1100" baseline="0">
              <a:solidFill>
                <a:schemeClr val="tx1"/>
              </a:solidFill>
              <a:effectLst/>
              <a:latin typeface="Cambria" panose="02040503050406030204" pitchFamily="18" charset="0"/>
              <a:ea typeface="+mn-ea"/>
              <a:cs typeface="+mn-cs"/>
            </a:rPr>
            <a:t>Nettonuvärdet är en samlad bedömning av investeringens lönsamhet under hela den ekonomiska livslängden. Nuvärdet tar hänsyn till pengarnas tidsvärde. (100 kr är värt mer idag än om till exempel två år.) Investeringen ska klara ett avkastningskrav (nominell kalkylränta) på 5 %. </a:t>
          </a:r>
        </a:p>
        <a:p>
          <a:pPr eaLnBrk="1" fontAlgn="auto" latinLnBrk="0" hangingPunct="1"/>
          <a:endParaRPr lang="sv-SE" sz="1100">
            <a:effectLst/>
            <a:latin typeface="Cambria" panose="02040503050406030204" pitchFamily="18" charset="0"/>
          </a:endParaRPr>
        </a:p>
        <a:p>
          <a:pPr eaLnBrk="1" fontAlgn="auto" latinLnBrk="0" hangingPunct="1"/>
          <a:r>
            <a:rPr lang="sv-SE" sz="1100" baseline="0">
              <a:solidFill>
                <a:schemeClr val="tx1"/>
              </a:solidFill>
              <a:effectLst/>
              <a:latin typeface="Cambria" panose="02040503050406030204" pitchFamily="18" charset="0"/>
              <a:ea typeface="+mn-ea"/>
              <a:cs typeface="+mn-cs"/>
            </a:rPr>
            <a:t>I kalkylen används driftnettot från driftskalkylen från år 1 (exklusive avskrivningar och ränta, eftersom nuvärdekalkylen redan tar hänsyn till avskrivningar och ränta). Driftkalkylen visar det ekonomiska utfallet år 1 med antagandet att investeringen är i full drift redan år 1, ä</a:t>
          </a:r>
          <a:r>
            <a:rPr lang="sv-SE" sz="1100" b="0" baseline="0">
              <a:solidFill>
                <a:schemeClr val="tx1"/>
              </a:solidFill>
              <a:effectLst/>
              <a:latin typeface="Cambria" panose="02040503050406030204" pitchFamily="18" charset="0"/>
              <a:ea typeface="+mn-ea"/>
              <a:cs typeface="+mn-cs"/>
            </a:rPr>
            <a:t>ven om det i praktiken tar längre tid att komma upp i full produktion. </a:t>
          </a:r>
          <a:r>
            <a:rPr lang="sv-SE" sz="1100">
              <a:solidFill>
                <a:schemeClr val="tx1"/>
              </a:solidFill>
              <a:effectLst/>
              <a:latin typeface="Cambria" panose="02040503050406030204" pitchFamily="18" charset="0"/>
              <a:ea typeface="+mn-ea"/>
              <a:cs typeface="+mn-cs"/>
            </a:rPr>
            <a:t>Detta är en förenkling för att inte behöva göra driftskalkyler för alla år under stallets ekonomiska livslängd. Driftskalkylen för år 1 med full drift används i kalkylen som ett uppskattat genomsnitt av alla år under den ekonomiska livslängden. Vid</a:t>
          </a:r>
          <a:r>
            <a:rPr lang="sv-SE" sz="1100" baseline="0">
              <a:solidFill>
                <a:schemeClr val="tx1"/>
              </a:solidFill>
              <a:effectLst/>
              <a:latin typeface="Cambria" panose="02040503050406030204" pitchFamily="18" charset="0"/>
              <a:ea typeface="+mn-ea"/>
              <a:cs typeface="+mn-cs"/>
            </a:rPr>
            <a:t> beräkningen av nuvärdet antas att driftnettot år 1 kommer att följa inflationen under den ekonomiska livslängden. Inflationen uppskattas till 1% per år. </a:t>
          </a:r>
        </a:p>
        <a:p>
          <a:pPr eaLnBrk="1" fontAlgn="auto" latinLnBrk="0" hangingPunct="1"/>
          <a:endParaRPr lang="sv-SE" sz="1100" baseline="0">
            <a:solidFill>
              <a:schemeClr val="tx1"/>
            </a:solidFill>
            <a:effectLst/>
            <a:latin typeface="Cambria" panose="02040503050406030204" pitchFamily="18" charset="0"/>
            <a:ea typeface="+mn-ea"/>
            <a:cs typeface="+mn-cs"/>
          </a:endParaRPr>
        </a:p>
        <a:p>
          <a:pPr eaLnBrk="1" fontAlgn="auto" latinLnBrk="0" hangingPunct="1"/>
          <a:r>
            <a:rPr lang="sv-SE" sz="1100">
              <a:solidFill>
                <a:schemeClr val="tx1"/>
              </a:solidFill>
              <a:effectLst/>
              <a:latin typeface="Cambria" panose="02040503050406030204" pitchFamily="18" charset="0"/>
              <a:ea typeface="+mn-ea"/>
              <a:cs typeface="+mn-cs"/>
            </a:rPr>
            <a:t>Driftskalkylen omfattar de huvudsakliga intäkter och kostnader som kan kopplas till stallet. </a:t>
          </a:r>
        </a:p>
        <a:p>
          <a:pPr marL="0" marR="0" indent="0" defTabSz="914400" eaLnBrk="1" fontAlgn="auto" latinLnBrk="0" hangingPunct="1">
            <a:lnSpc>
              <a:spcPct val="100000"/>
            </a:lnSpc>
            <a:spcBef>
              <a:spcPts val="0"/>
            </a:spcBef>
            <a:spcAft>
              <a:spcPts val="0"/>
            </a:spcAft>
            <a:buClrTx/>
            <a:buSzTx/>
            <a:buFontTx/>
            <a:buNone/>
            <a:tabLst/>
            <a:defRPr/>
          </a:pPr>
          <a:r>
            <a:rPr lang="sv-SE" sz="1100">
              <a:solidFill>
                <a:schemeClr val="tx1"/>
              </a:solidFill>
              <a:effectLst/>
              <a:latin typeface="Cambria" panose="02040503050406030204" pitchFamily="18" charset="0"/>
              <a:ea typeface="+mn-ea"/>
              <a:cs typeface="+mn-cs"/>
            </a:rPr>
            <a:t>Av förenklingsskäl ingår inte riktigt alla tänkbara kostnader i kalkylen. Vinstmarginalen ska täcka till exempel uppstartskostnader innan stallet är i full drift, administration och andra gemensamma kostnader för företaget samt skatt och vinst. Det innebär att vinstmarginalen i företaget som helhet i praktiken kan skilja sig från vinstmarginalen för stallet. Kalkylen bygger också på att stödnivåerna är oförändrade under stallets ekonomiska livslängd, vilket också är en kalkylmässig förenkling som kan påverkar den verkliga vinstmarginalen. </a:t>
          </a:r>
          <a:endParaRPr lang="sv-SE">
            <a:effectLst/>
            <a:latin typeface="Cambria" panose="02040503050406030204" pitchFamily="18" charset="0"/>
          </a:endParaRPr>
        </a:p>
        <a:p>
          <a:pPr eaLnBrk="1" fontAlgn="auto" latinLnBrk="0" hangingPunct="1"/>
          <a:r>
            <a:rPr lang="sv-SE" sz="1100">
              <a:solidFill>
                <a:schemeClr val="tx1"/>
              </a:solidFill>
              <a:effectLst/>
              <a:latin typeface="Cambria" panose="02040503050406030204" pitchFamily="18" charset="0"/>
              <a:ea typeface="+mn-ea"/>
              <a:cs typeface="+mn-cs"/>
            </a:rPr>
            <a:t> </a:t>
          </a:r>
          <a:endParaRPr lang="sv-SE" sz="1100">
            <a:effectLst/>
            <a:latin typeface="Cambria" panose="02040503050406030204" pitchFamily="18" charset="0"/>
          </a:endParaRPr>
        </a:p>
        <a:p>
          <a:r>
            <a:rPr lang="sv-SE" sz="1100" b="1" baseline="0">
              <a:solidFill>
                <a:schemeClr val="tx1"/>
              </a:solidFill>
              <a:effectLst/>
              <a:latin typeface="Cambria" panose="02040503050406030204" pitchFamily="18" charset="0"/>
              <a:ea typeface="+mn-ea"/>
              <a:cs typeface="+mn-cs"/>
            </a:rPr>
            <a:t>Hur tolkar du nettonuvärdet?</a:t>
          </a:r>
          <a:endParaRPr lang="sv-SE" sz="1100">
            <a:effectLst/>
            <a:latin typeface="Cambria" panose="02040503050406030204" pitchFamily="18" charset="0"/>
          </a:endParaRPr>
        </a:p>
        <a:p>
          <a:r>
            <a:rPr lang="sv-SE" sz="1100" b="0" baseline="0">
              <a:solidFill>
                <a:schemeClr val="tx1"/>
              </a:solidFill>
              <a:effectLst/>
              <a:latin typeface="Cambria" panose="02040503050406030204" pitchFamily="18" charset="0"/>
              <a:ea typeface="+mn-ea"/>
              <a:cs typeface="+mn-cs"/>
            </a:rPr>
            <a:t>Om nettonuvärdet är minst 0 kr så klarar stallkonceptet avkastningskravet på 5% (nominellt). </a:t>
          </a:r>
          <a:endParaRPr lang="sv-SE" sz="1100">
            <a:effectLst/>
            <a:latin typeface="Cambria" panose="02040503050406030204" pitchFamily="18" charset="0"/>
          </a:endParaRPr>
        </a:p>
        <a:p>
          <a:r>
            <a:rPr lang="sv-SE" sz="1100" b="0" baseline="0">
              <a:solidFill>
                <a:schemeClr val="tx1"/>
              </a:solidFill>
              <a:effectLst/>
              <a:latin typeface="Cambria" panose="02040503050406030204" pitchFamily="18" charset="0"/>
              <a:ea typeface="+mn-ea"/>
              <a:cs typeface="+mn-cs"/>
            </a:rPr>
            <a:t>Om nettonuvärdet är större än 0 kr är avkastningen på investeringen större än 5%. </a:t>
          </a:r>
          <a:endParaRPr lang="sv-SE" sz="1100">
            <a:effectLst/>
            <a:latin typeface="Cambria" panose="02040503050406030204" pitchFamily="18" charset="0"/>
          </a:endParaRPr>
        </a:p>
        <a:p>
          <a:r>
            <a:rPr lang="sv-SE" sz="1100" b="0" baseline="0">
              <a:solidFill>
                <a:schemeClr val="tx1"/>
              </a:solidFill>
              <a:effectLst/>
              <a:latin typeface="Cambria" panose="02040503050406030204" pitchFamily="18" charset="0"/>
              <a:ea typeface="+mn-ea"/>
              <a:cs typeface="+mn-cs"/>
            </a:rPr>
            <a:t>Om nettonuvärdet är negativt så klarar inte stallkonceptet avkastningskravet på 5%. </a:t>
          </a:r>
          <a:endParaRPr lang="sv-SE" sz="1100">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u="sng" baseline="0">
              <a:solidFill>
                <a:schemeClr val="tx1"/>
              </a:solidFill>
              <a:effectLst/>
              <a:latin typeface="Cambria" panose="02040503050406030204" pitchFamily="18" charset="0"/>
              <a:ea typeface="+mn-ea"/>
              <a:cs typeface="+mn-cs"/>
            </a:rPr>
            <a:t>INVESTERINGSUTGIFT</a:t>
          </a: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Cambria" panose="02040503050406030204" pitchFamily="18" charset="0"/>
              <a:ea typeface="+mn-ea"/>
              <a:cs typeface="+mn-cs"/>
            </a:rPr>
            <a:t>Lägg</a:t>
          </a:r>
          <a:r>
            <a:rPr lang="sv-SE" sz="1100" b="1" baseline="0">
              <a:solidFill>
                <a:schemeClr val="tx1"/>
              </a:solidFill>
              <a:effectLst/>
              <a:latin typeface="Cambria" panose="02040503050406030204" pitchFamily="18" charset="0"/>
              <a:ea typeface="+mn-ea"/>
              <a:cs typeface="+mn-cs"/>
            </a:rPr>
            <a:t> till poster vid behov</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Om någon kalkylpost saknas går det bra att lägga till rader. Försök att använda befintliga rubriker. I undantagsfall kan du lägga till nya rubriker. Det går bra att dela upp en befintlig kalkylpost i flera poster. </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Kontrollera att alla summeringar/formler blivit rätt om du lägger till rader. </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Om en post inte är aktuell lämnar du raden tom. Ta inte bort raden. Skriv i not varför posten inte är aktuell. </a:t>
          </a: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Not</a:t>
          </a:r>
          <a:endParaRPr lang="sv-SE">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Till varje kalkylpost ska du skriva en not. Noterna numreras löpande. Om du lägger till rader får du ändra numreringen på de rader som kommer efter. I noten förklarar du hur du har räknat fram beloppet och volymen. Noterna skriver du i en särskild bilaga som finns i rapportmallen.  </a:t>
          </a: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tx1"/>
              </a:solidFill>
              <a:effectLst/>
              <a:latin typeface="Cambria" panose="02040503050406030204" pitchFamily="18" charset="0"/>
              <a:ea typeface="+mn-ea"/>
              <a:cs typeface="+mn-cs"/>
            </a:rPr>
            <a:t>Enhet</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I kolumnen anger du enheten för volymen av varje kalkylpost, till exempel: </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 st</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 meter</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 m2</a:t>
          </a: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tx1"/>
              </a:solidFill>
              <a:effectLst/>
              <a:latin typeface="Cambria" panose="02040503050406030204" pitchFamily="18" charset="0"/>
              <a:ea typeface="+mn-ea"/>
              <a:cs typeface="+mn-cs"/>
            </a:rPr>
            <a:t>Utgift</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Alla utgifter anges i svenska kronor (SEK) exklusive moms. </a:t>
          </a: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tx1"/>
              </a:solidFill>
              <a:effectLst/>
              <a:latin typeface="Cambria" panose="02040503050406030204" pitchFamily="18" charset="0"/>
              <a:ea typeface="+mn-ea"/>
              <a:cs typeface="+mn-cs"/>
            </a:rPr>
            <a:t>Eget arbete &amp; eget material </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Kom ihåg att även räkna med eventuellt eget arbete och eget material i den totala investeringsutgiften. Eget arbete ska värderas till minst 220 kr per timme. Eget material värderas till den utgift som hade betalats om materialet istället köps in. </a:t>
          </a:r>
        </a:p>
        <a:p>
          <a:pPr marL="0" marR="0" indent="0" defTabSz="914400" eaLnBrk="1" fontAlgn="auto" latinLnBrk="0" hangingPunct="1">
            <a:lnSpc>
              <a:spcPct val="100000"/>
            </a:lnSpc>
            <a:spcBef>
              <a:spcPts val="0"/>
            </a:spcBef>
            <a:spcAft>
              <a:spcPts val="0"/>
            </a:spcAft>
            <a:buClrTx/>
            <a:buSzTx/>
            <a:buFontTx/>
            <a:buNone/>
            <a:tabLst/>
            <a:defRPr/>
          </a:pPr>
          <a:endParaRPr lang="sv-SE" sz="1100" b="1"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tx1"/>
              </a:solidFill>
              <a:effectLst/>
              <a:latin typeface="Cambria" panose="02040503050406030204" pitchFamily="18" charset="0"/>
              <a:ea typeface="+mn-ea"/>
              <a:cs typeface="+mn-cs"/>
            </a:rPr>
            <a:t>Inredning, utrustning &amp; maskiner</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Precisera vilken inredning, utrustning och maskiner som ska finnas i stallet. </a:t>
          </a:r>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tx1"/>
              </a:solidFill>
              <a:effectLst/>
              <a:latin typeface="Cambria" panose="02040503050406030204" pitchFamily="18" charset="0"/>
              <a:ea typeface="+mn-ea"/>
              <a:cs typeface="+mn-cs"/>
            </a:rPr>
            <a:t>Investeringsutgift för traktor, lastmaskin eller liknande mobil maskin som både används i stallet och för andra ändamål ska ingå i kalkylerna, men endast med den andel som de används i stallet. Maskiner som endast används för driften av stallet ska ingå i sin helhet (till exempel fodermaskiner och strömaskiner). </a:t>
          </a:r>
        </a:p>
        <a:p>
          <a:pPr marL="0" marR="0" indent="0" defTabSz="914400" eaLnBrk="1" fontAlgn="auto" latinLnBrk="0" hangingPunct="1">
            <a:lnSpc>
              <a:spcPct val="100000"/>
            </a:lnSpc>
            <a:spcBef>
              <a:spcPts val="0"/>
            </a:spcBef>
            <a:spcAft>
              <a:spcPts val="0"/>
            </a:spcAft>
            <a:buClrTx/>
            <a:buSzTx/>
            <a:buFontTx/>
            <a:buNone/>
            <a:tabLst/>
            <a:defRPr/>
          </a:pPr>
          <a:endParaRPr lang="sv-SE" sz="1100" b="1"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tx1"/>
              </a:solidFill>
              <a:effectLst/>
              <a:latin typeface="Cambria" panose="02040503050406030204" pitchFamily="18" charset="0"/>
              <a:ea typeface="+mn-ea"/>
              <a:cs typeface="+mn-cs"/>
            </a:rPr>
            <a:t>Ränta</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Här anger du räntan som uppstår under byggtiden. Du ska räkna med 5 % ränta per år på de belopp som ska betalas innan stallet är färdigt att börja användas. Gör en översiktlig sammanställning av när i tiden olika belopp av investeringsutgiften beräknas behöva betalas och beräkna räntan utifrån sammanställningen. Redovisa beräkningen i noten. </a:t>
          </a:r>
        </a:p>
        <a:p>
          <a:pPr marL="0" marR="0" indent="0" defTabSz="914400" eaLnBrk="1" fontAlgn="auto" latinLnBrk="0" hangingPunct="1">
            <a:lnSpc>
              <a:spcPct val="100000"/>
            </a:lnSpc>
            <a:spcBef>
              <a:spcPts val="0"/>
            </a:spcBef>
            <a:spcAft>
              <a:spcPts val="0"/>
            </a:spcAft>
            <a:buClrTx/>
            <a:buSzTx/>
            <a:buFontTx/>
            <a:buNone/>
            <a:tabLst/>
            <a:defRPr/>
          </a:pPr>
          <a:endParaRPr lang="sv-SE" sz="1100" b="1"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tx1"/>
              </a:solidFill>
              <a:effectLst/>
              <a:latin typeface="Cambria" panose="02040503050406030204" pitchFamily="18" charset="0"/>
              <a:ea typeface="+mn-ea"/>
              <a:cs typeface="+mn-cs"/>
            </a:rPr>
            <a:t>Investeringsstöd</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Stödet beräknas enligt schablon till 40% av investeringsutgiften, dock högst 1 200 000 kr.</a:t>
          </a: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tx1"/>
              </a:solidFill>
              <a:effectLst/>
              <a:latin typeface="Cambria" panose="02040503050406030204" pitchFamily="18" charset="0"/>
              <a:ea typeface="+mn-ea"/>
              <a:cs typeface="+mn-cs"/>
            </a:rPr>
            <a:t>Investeringsutgift per djurplats</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Maximal investeringsutgift (efter avräknat investeringsstöd enligt schablon) framgår av uppdragsspecifikationen och är: </a:t>
          </a:r>
        </a:p>
        <a:p>
          <a:pPr lvl="0" hangingPunct="0"/>
          <a:r>
            <a:rPr lang="sv-SE" sz="1100">
              <a:solidFill>
                <a:schemeClr val="tx1"/>
              </a:solidFill>
              <a:effectLst/>
              <a:latin typeface="Cambria" panose="02040503050406030204" pitchFamily="18" charset="0"/>
              <a:ea typeface="+mn-ea"/>
              <a:cs typeface="+mn-cs"/>
            </a:rPr>
            <a:t>- 40 000 kr per suggplats</a:t>
          </a:r>
        </a:p>
        <a:p>
          <a:pPr lvl="0" hangingPunct="0"/>
          <a:r>
            <a:rPr lang="sv-SE" sz="1100">
              <a:solidFill>
                <a:schemeClr val="tx1"/>
              </a:solidFill>
              <a:effectLst/>
              <a:latin typeface="Cambria" panose="02040503050406030204" pitchFamily="18" charset="0"/>
              <a:ea typeface="+mn-ea"/>
              <a:cs typeface="+mn-cs"/>
            </a:rPr>
            <a:t>- 5 000 kr per slaktgrisplats</a:t>
          </a:r>
        </a:p>
        <a:p>
          <a:pPr lvl="0" hangingPunct="0"/>
          <a:r>
            <a:rPr lang="sv-SE" sz="1100">
              <a:solidFill>
                <a:schemeClr val="tx1"/>
              </a:solidFill>
              <a:effectLst/>
              <a:latin typeface="Cambria" panose="02040503050406030204" pitchFamily="18" charset="0"/>
              <a:ea typeface="+mn-ea"/>
              <a:cs typeface="+mn-cs"/>
            </a:rPr>
            <a:t>- 50 000 kr per koplats (inkl. sinkor &amp; kalvar upp till 3 mån)</a:t>
          </a:r>
        </a:p>
        <a:p>
          <a:pPr lvl="0" hangingPunct="0"/>
          <a:r>
            <a:rPr lang="sv-SE" sz="1100">
              <a:solidFill>
                <a:schemeClr val="tx1"/>
              </a:solidFill>
              <a:effectLst/>
              <a:latin typeface="Cambria" panose="02040503050406030204" pitchFamily="18" charset="0"/>
              <a:ea typeface="+mn-ea"/>
              <a:cs typeface="+mn-cs"/>
            </a:rPr>
            <a:t>- 3 000 kr per tacka</a:t>
          </a:r>
        </a:p>
        <a:p>
          <a:pPr lvl="0" hangingPunct="0"/>
          <a:r>
            <a:rPr lang="sv-SE" sz="1100">
              <a:solidFill>
                <a:schemeClr val="tx1"/>
              </a:solidFill>
              <a:effectLst/>
              <a:latin typeface="Cambria" panose="02040503050406030204" pitchFamily="18" charset="0"/>
              <a:ea typeface="+mn-ea"/>
              <a:cs typeface="+mn-cs"/>
            </a:rPr>
            <a:t>- 20 000 kr per dikoplats </a:t>
          </a:r>
        </a:p>
        <a:p>
          <a:pPr lvl="0" hangingPunct="0"/>
          <a:r>
            <a:rPr lang="sv-SE" sz="1100">
              <a:solidFill>
                <a:schemeClr val="tx1"/>
              </a:solidFill>
              <a:effectLst/>
              <a:latin typeface="Cambria" panose="02040503050406030204" pitchFamily="18" charset="0"/>
              <a:ea typeface="+mn-ea"/>
              <a:cs typeface="+mn-cs"/>
            </a:rPr>
            <a:t>- 25 000 kr per slaktungnötplats  </a:t>
          </a: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tx1"/>
              </a:solidFill>
              <a:effectLst/>
              <a:latin typeface="Cambria" panose="02040503050406030204" pitchFamily="18" charset="0"/>
              <a:ea typeface="+mn-ea"/>
              <a:cs typeface="+mn-cs"/>
            </a:rPr>
            <a:t>Utrymmen för visning</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Ange belopp för utrymmen som används särskilt för detta ändamål. Detta belopp ingår inte vid bedömning av investeringsutgift per djurplats eller vid beräkning av räntor och avskrivningar i driftskalkyl eller investeringskalkyl. Investeringsutgiften </a:t>
          </a:r>
          <a:r>
            <a:rPr lang="sv-SE" sz="1100" b="1" i="1" baseline="0">
              <a:solidFill>
                <a:schemeClr val="tx1"/>
              </a:solidFill>
              <a:effectLst/>
              <a:latin typeface="Cambria" panose="02040503050406030204" pitchFamily="18" charset="0"/>
              <a:ea typeface="+mn-ea"/>
              <a:cs typeface="+mn-cs"/>
            </a:rPr>
            <a:t>bör</a:t>
          </a:r>
          <a:r>
            <a:rPr lang="sv-SE" sz="1100" b="0" baseline="0">
              <a:solidFill>
                <a:schemeClr val="tx1"/>
              </a:solidFill>
              <a:effectLst/>
              <a:latin typeface="Cambria" panose="02040503050406030204" pitchFamily="18" charset="0"/>
              <a:ea typeface="+mn-ea"/>
              <a:cs typeface="+mn-cs"/>
            </a:rPr>
            <a:t> inte vara högre än 200 000 kr. </a:t>
          </a:r>
        </a:p>
        <a:p>
          <a:pPr marL="0" marR="0" indent="0" defTabSz="914400" eaLnBrk="1" fontAlgn="auto" latinLnBrk="0" hangingPunct="1">
            <a:lnSpc>
              <a:spcPct val="100000"/>
            </a:lnSpc>
            <a:spcBef>
              <a:spcPts val="0"/>
            </a:spcBef>
            <a:spcAft>
              <a:spcPts val="0"/>
            </a:spcAft>
            <a:buClrTx/>
            <a:buSzTx/>
            <a:buFontTx/>
            <a:buNone/>
            <a:tabLst/>
            <a:defRPr/>
          </a:pPr>
          <a:endParaRPr lang="sv-SE" sz="1100">
            <a:effectLst/>
            <a:latin typeface="Cambria" panose="02040503050406030204" pitchFamily="18" charset="0"/>
          </a:endParaRPr>
        </a:p>
      </xdr:txBody>
    </xdr:sp>
    <xdr:clientData/>
  </xdr:oneCellAnchor>
  <xdr:oneCellAnchor>
    <xdr:from>
      <xdr:col>2</xdr:col>
      <xdr:colOff>518160</xdr:colOff>
      <xdr:row>0</xdr:row>
      <xdr:rowOff>114300</xdr:rowOff>
    </xdr:from>
    <xdr:ext cx="2381249" cy="1257300"/>
    <xdr:sp macro="" textlink="">
      <xdr:nvSpPr>
        <xdr:cNvPr id="3" name="textruta 2"/>
        <xdr:cNvSpPr txBox="1"/>
      </xdr:nvSpPr>
      <xdr:spPr>
        <a:xfrm>
          <a:off x="4282440" y="114300"/>
          <a:ext cx="2381249" cy="1257300"/>
        </a:xfrm>
        <a:prstGeom prst="rect">
          <a:avLst/>
        </a:prstGeom>
        <a:solidFill>
          <a:srgbClr val="FFFF00"/>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sv-SE" sz="1600" b="1">
              <a:solidFill>
                <a:schemeClr val="tx1"/>
              </a:solidFill>
              <a:effectLst/>
              <a:latin typeface="Cambria" panose="02040503050406030204" pitchFamily="18" charset="0"/>
              <a:ea typeface="+mn-ea"/>
              <a:cs typeface="+mn-cs"/>
            </a:rPr>
            <a:t>Mer information</a:t>
          </a:r>
        </a:p>
        <a:p>
          <a:pPr eaLnBrk="1" fontAlgn="auto" latinLnBrk="0" hangingPunct="1"/>
          <a:endParaRPr lang="sv-SE" sz="900" b="1">
            <a:solidFill>
              <a:schemeClr val="tx1"/>
            </a:solidFill>
            <a:effectLst/>
            <a:latin typeface="Cambria" panose="02040503050406030204" pitchFamily="18" charset="0"/>
            <a:ea typeface="+mn-ea"/>
            <a:cs typeface="+mn-cs"/>
          </a:endParaRPr>
        </a:p>
        <a:p>
          <a:pPr eaLnBrk="1" fontAlgn="auto" latinLnBrk="0" hangingPunct="1"/>
          <a:r>
            <a:rPr lang="sv-SE" sz="1100">
              <a:solidFill>
                <a:schemeClr val="tx1"/>
              </a:solidFill>
              <a:effectLst/>
              <a:latin typeface="Cambria" panose="02040503050406030204" pitchFamily="18" charset="0"/>
              <a:ea typeface="+mn-ea"/>
              <a:cs typeface="+mn-cs"/>
            </a:rPr>
            <a:t>I rapporten som beskriver</a:t>
          </a:r>
          <a:r>
            <a:rPr lang="sv-SE" sz="1100" baseline="0">
              <a:solidFill>
                <a:schemeClr val="tx1"/>
              </a:solidFill>
              <a:effectLst/>
              <a:latin typeface="Cambria" panose="02040503050406030204" pitchFamily="18" charset="0"/>
              <a:ea typeface="+mn-ea"/>
              <a:cs typeface="+mn-cs"/>
            </a:rPr>
            <a:t> stallet finns noter till posterna i kalkylen. Där finns mer information om vad som ingår i varje post. </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xdr:col>
      <xdr:colOff>0</xdr:colOff>
      <xdr:row>2</xdr:row>
      <xdr:rowOff>0</xdr:rowOff>
    </xdr:from>
    <xdr:ext cx="2381249" cy="1257300"/>
    <xdr:sp macro="" textlink="">
      <xdr:nvSpPr>
        <xdr:cNvPr id="2" name="textruta 1"/>
        <xdr:cNvSpPr txBox="1"/>
      </xdr:nvSpPr>
      <xdr:spPr>
        <a:xfrm>
          <a:off x="4663440" y="533400"/>
          <a:ext cx="2381249" cy="1257300"/>
        </a:xfrm>
        <a:prstGeom prst="rect">
          <a:avLst/>
        </a:prstGeom>
        <a:solidFill>
          <a:srgbClr val="FFFF00"/>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sv-SE" sz="1600" b="1">
              <a:solidFill>
                <a:schemeClr val="tx1"/>
              </a:solidFill>
              <a:effectLst/>
              <a:latin typeface="Cambria" panose="02040503050406030204" pitchFamily="18" charset="0"/>
              <a:ea typeface="+mn-ea"/>
              <a:cs typeface="+mn-cs"/>
            </a:rPr>
            <a:t>Mer information</a:t>
          </a:r>
        </a:p>
        <a:p>
          <a:pPr eaLnBrk="1" fontAlgn="auto" latinLnBrk="0" hangingPunct="1"/>
          <a:endParaRPr lang="sv-SE" sz="900" b="1">
            <a:solidFill>
              <a:schemeClr val="tx1"/>
            </a:solidFill>
            <a:effectLst/>
            <a:latin typeface="Cambria" panose="02040503050406030204" pitchFamily="18" charset="0"/>
            <a:ea typeface="+mn-ea"/>
            <a:cs typeface="+mn-cs"/>
          </a:endParaRPr>
        </a:p>
        <a:p>
          <a:pPr eaLnBrk="1" fontAlgn="auto" latinLnBrk="0" hangingPunct="1"/>
          <a:r>
            <a:rPr lang="sv-SE" sz="1100">
              <a:solidFill>
                <a:schemeClr val="tx1"/>
              </a:solidFill>
              <a:effectLst/>
              <a:latin typeface="Cambria" panose="02040503050406030204" pitchFamily="18" charset="0"/>
              <a:ea typeface="+mn-ea"/>
              <a:cs typeface="+mn-cs"/>
            </a:rPr>
            <a:t>I rapporten som beskriver</a:t>
          </a:r>
          <a:r>
            <a:rPr lang="sv-SE" sz="1100" baseline="0">
              <a:solidFill>
                <a:schemeClr val="tx1"/>
              </a:solidFill>
              <a:effectLst/>
              <a:latin typeface="Cambria" panose="02040503050406030204" pitchFamily="18" charset="0"/>
              <a:ea typeface="+mn-ea"/>
              <a:cs typeface="+mn-cs"/>
            </a:rPr>
            <a:t> stallet finns noter till posterna i kalkylen. Där finns mer information om vad som ingår i varje post. </a:t>
          </a:r>
        </a:p>
      </xdr:txBody>
    </xdr:sp>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N17" sqref="N17"/>
    </sheetView>
  </sheetViews>
  <sheetFormatPr defaultRowHeight="14.4" x14ac:dyDescent="0.3"/>
  <sheetData>
    <row r="1" spans="1:1" ht="27.6" x14ac:dyDescent="0.45">
      <c r="A1" s="2" t="s">
        <v>40</v>
      </c>
    </row>
    <row r="2" spans="1:1" x14ac:dyDescent="0.3">
      <c r="A2" s="1"/>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XFD82"/>
  <sheetViews>
    <sheetView topLeftCell="A2" workbookViewId="0">
      <selection activeCell="A7" sqref="A7"/>
    </sheetView>
  </sheetViews>
  <sheetFormatPr defaultColWidth="9.109375" defaultRowHeight="13.8" x14ac:dyDescent="0.25"/>
  <cols>
    <col min="1" max="1" width="38.44140625" style="3" customWidth="1"/>
    <col min="2" max="2" width="16.44140625" style="3" bestFit="1" customWidth="1"/>
    <col min="3" max="3" width="12" style="3" customWidth="1"/>
    <col min="4" max="4" width="10.44140625" style="3" customWidth="1"/>
    <col min="5" max="5" width="14" style="3" bestFit="1" customWidth="1"/>
    <col min="6" max="6" width="16.33203125" style="3" bestFit="1" customWidth="1"/>
    <col min="7" max="16384" width="9.109375" style="3"/>
  </cols>
  <sheetData>
    <row r="1" spans="1:7" ht="27.6" x14ac:dyDescent="0.45">
      <c r="A1" s="2" t="s">
        <v>90</v>
      </c>
    </row>
    <row r="2" spans="1:7" ht="17.399999999999999" x14ac:dyDescent="0.3">
      <c r="A2" s="90" t="s">
        <v>221</v>
      </c>
    </row>
    <row r="3" spans="1:7" ht="14.4" thickBot="1" x14ac:dyDescent="0.3">
      <c r="A3" s="4"/>
    </row>
    <row r="4" spans="1:7" x14ac:dyDescent="0.25">
      <c r="A4" s="5" t="s">
        <v>37</v>
      </c>
      <c r="B4" s="6"/>
      <c r="C4" s="7"/>
      <c r="D4" s="8"/>
      <c r="F4" s="9"/>
      <c r="G4" s="9"/>
    </row>
    <row r="5" spans="1:7" x14ac:dyDescent="0.25">
      <c r="A5" s="79" t="s">
        <v>39</v>
      </c>
      <c r="B5" s="80" t="s">
        <v>38</v>
      </c>
      <c r="C5" s="80"/>
      <c r="D5" s="81"/>
      <c r="F5" s="9"/>
      <c r="G5" s="9"/>
    </row>
    <row r="6" spans="1:7" x14ac:dyDescent="0.25">
      <c r="A6" s="103" t="s">
        <v>222</v>
      </c>
      <c r="B6" s="104"/>
      <c r="C6" s="105"/>
      <c r="D6" s="106"/>
      <c r="E6" s="9"/>
      <c r="F6" s="11"/>
      <c r="G6" s="9"/>
    </row>
    <row r="7" spans="1:7" x14ac:dyDescent="0.25">
      <c r="A7" s="103"/>
      <c r="B7" s="104"/>
      <c r="C7" s="105"/>
      <c r="D7" s="106"/>
      <c r="E7" s="9"/>
      <c r="F7" s="11"/>
      <c r="G7" s="9"/>
    </row>
    <row r="8" spans="1:7" x14ac:dyDescent="0.25">
      <c r="A8" s="103"/>
      <c r="B8" s="104"/>
      <c r="C8" s="105"/>
      <c r="D8" s="106"/>
      <c r="E8" s="9"/>
      <c r="F8" s="11"/>
      <c r="G8" s="9"/>
    </row>
    <row r="9" spans="1:7" x14ac:dyDescent="0.25">
      <c r="A9" s="103"/>
      <c r="B9" s="104"/>
      <c r="C9" s="105"/>
      <c r="D9" s="106"/>
      <c r="E9" s="9"/>
      <c r="F9" s="11"/>
      <c r="G9" s="9"/>
    </row>
    <row r="10" spans="1:7" ht="14.4" thickBot="1" x14ac:dyDescent="0.3">
      <c r="A10" s="107"/>
      <c r="B10" s="108"/>
      <c r="C10" s="108"/>
      <c r="D10" s="109"/>
      <c r="E10" s="13"/>
      <c r="F10" s="13"/>
      <c r="G10" s="13"/>
    </row>
    <row r="11" spans="1:7" x14ac:dyDescent="0.25">
      <c r="A11" s="4"/>
    </row>
    <row r="12" spans="1:7" ht="14.4" thickBot="1" x14ac:dyDescent="0.3">
      <c r="A12" s="54"/>
      <c r="B12" s="53"/>
      <c r="C12" s="54"/>
      <c r="D12" s="54"/>
    </row>
    <row r="13" spans="1:7" x14ac:dyDescent="0.25">
      <c r="A13" s="76" t="s">
        <v>96</v>
      </c>
      <c r="B13" s="77" t="s">
        <v>91</v>
      </c>
      <c r="C13" s="78" t="s">
        <v>34</v>
      </c>
      <c r="D13" s="55"/>
    </row>
    <row r="14" spans="1:7" x14ac:dyDescent="0.25">
      <c r="A14" s="59" t="s">
        <v>35</v>
      </c>
      <c r="B14" s="110">
        <v>300</v>
      </c>
      <c r="C14" s="188" t="s">
        <v>43</v>
      </c>
      <c r="D14" s="9" t="s">
        <v>131</v>
      </c>
    </row>
    <row r="15" spans="1:7" x14ac:dyDescent="0.25">
      <c r="A15" s="14" t="s">
        <v>92</v>
      </c>
      <c r="B15" s="111">
        <f>23.6*44</f>
        <v>1038.4000000000001</v>
      </c>
      <c r="C15" s="12" t="s">
        <v>1</v>
      </c>
    </row>
    <row r="16" spans="1:7" ht="28.5" customHeight="1" x14ac:dyDescent="0.25">
      <c r="A16" s="10" t="s">
        <v>93</v>
      </c>
      <c r="B16" s="111">
        <v>24</v>
      </c>
      <c r="C16" s="12" t="s">
        <v>1</v>
      </c>
      <c r="D16" s="9"/>
    </row>
    <row r="17" spans="1:6" x14ac:dyDescent="0.25">
      <c r="A17" s="15" t="s">
        <v>94</v>
      </c>
      <c r="B17" s="112"/>
      <c r="C17" s="16" t="s">
        <v>1</v>
      </c>
      <c r="D17" s="9"/>
    </row>
    <row r="18" spans="1:6" ht="14.4" thickBot="1" x14ac:dyDescent="0.3">
      <c r="A18" s="20" t="s">
        <v>0</v>
      </c>
      <c r="B18" s="102">
        <f>SUM(B15:B16)</f>
        <v>1062.4000000000001</v>
      </c>
      <c r="C18" s="66" t="s">
        <v>1</v>
      </c>
      <c r="D18" s="13"/>
      <c r="E18" s="13"/>
      <c r="F18" s="13"/>
    </row>
    <row r="19" spans="1:6" x14ac:dyDescent="0.25">
      <c r="A19" s="76" t="s">
        <v>90</v>
      </c>
      <c r="B19" s="77" t="s">
        <v>91</v>
      </c>
      <c r="C19" s="78" t="s">
        <v>34</v>
      </c>
      <c r="D19" s="55"/>
    </row>
    <row r="20" spans="1:6" ht="27.6" x14ac:dyDescent="0.25">
      <c r="A20" s="59" t="s">
        <v>112</v>
      </c>
      <c r="B20" s="203">
        <f>Investeringskalkyl!F73</f>
        <v>2343723.4051282052</v>
      </c>
      <c r="C20" s="60" t="s">
        <v>48</v>
      </c>
      <c r="D20" s="55"/>
    </row>
    <row r="21" spans="1:6" x14ac:dyDescent="0.25">
      <c r="A21" s="59" t="s">
        <v>113</v>
      </c>
      <c r="B21" s="204">
        <f>IF(Investeringskalkyl!$C$14="suggor",#REF!)+IF(Investeringskalkyl!$C$14="slaktgrisar",#REF!)+IF(Investeringskalkyl!$C$14="tackor",'Driftkalkyl - Lamm'!$C$8)+IF(Investeringskalkyl!$C$14="dikor",#REF!)+IF(Investeringskalkyl!$C$14="slaktungnöt",#REF!)+IF(Investeringskalkyl!$C$14="mjölkkor",#REF!)</f>
        <v>159385.11726764659</v>
      </c>
      <c r="C21" s="60" t="s">
        <v>74</v>
      </c>
      <c r="D21" s="55"/>
      <c r="E21" s="88"/>
      <c r="F21" s="89"/>
    </row>
    <row r="22" spans="1:6" ht="27.6" x14ac:dyDescent="0.25">
      <c r="A22" s="59" t="s">
        <v>114</v>
      </c>
      <c r="B22" s="204">
        <f>$B$21+(IF(Investeringskalkyl!$C$14="suggor",#REF!)+IF(Investeringskalkyl!$C$14="slaktgrisar",#REF!)+IF(Investeringskalkyl!$C$14="tackor",'Driftkalkyl - Lamm'!$H$60)+IF(Investeringskalkyl!$C$14="dikor",#REF!)+IF(Investeringskalkyl!$C$14="slaktungnöt",#REF!)+IF(Investeringskalkyl!$C$14="mjölkkor",#REF!))</f>
        <v>385184.79164102569</v>
      </c>
      <c r="C22" s="60" t="s">
        <v>74</v>
      </c>
      <c r="D22" s="55"/>
    </row>
    <row r="23" spans="1:6" ht="27.6" x14ac:dyDescent="0.25">
      <c r="A23" s="59" t="s">
        <v>77</v>
      </c>
      <c r="B23" s="189">
        <v>0.05</v>
      </c>
      <c r="C23" s="60"/>
      <c r="D23" s="55"/>
    </row>
    <row r="24" spans="1:6" x14ac:dyDescent="0.25">
      <c r="A24" s="59" t="s">
        <v>78</v>
      </c>
      <c r="B24" s="189">
        <v>0.01</v>
      </c>
      <c r="C24" s="60" t="s">
        <v>79</v>
      </c>
      <c r="D24" s="55"/>
    </row>
    <row r="25" spans="1:6" x14ac:dyDescent="0.25">
      <c r="A25" s="59" t="s">
        <v>80</v>
      </c>
      <c r="B25" s="91">
        <f>(1+$B$23)/(1+$B$24)-1</f>
        <v>3.9603960396039639E-2</v>
      </c>
      <c r="C25" s="60"/>
      <c r="D25" s="55"/>
    </row>
    <row r="26" spans="1:6" x14ac:dyDescent="0.25">
      <c r="A26" s="59" t="s">
        <v>72</v>
      </c>
      <c r="B26" s="64">
        <v>15</v>
      </c>
      <c r="C26" s="60" t="s">
        <v>73</v>
      </c>
      <c r="D26" s="55"/>
    </row>
    <row r="27" spans="1:6" ht="27.6" x14ac:dyDescent="0.25">
      <c r="A27" s="59" t="s">
        <v>137</v>
      </c>
      <c r="B27" s="100">
        <f>($B$22*((1-(1+$B$25)^(-$B$26))/$B$25))</f>
        <v>4294517.9072145885</v>
      </c>
      <c r="C27" s="60" t="s">
        <v>74</v>
      </c>
      <c r="D27" s="55"/>
    </row>
    <row r="28" spans="1:6" ht="14.4" thickBot="1" x14ac:dyDescent="0.3">
      <c r="A28" s="67" t="s">
        <v>110</v>
      </c>
      <c r="B28" s="101">
        <f>-$B$20+($B$22*((1-(1+$B$25)^(-$B$26))/$B$25))</f>
        <v>1950794.5020863833</v>
      </c>
      <c r="C28" s="68" t="s">
        <v>48</v>
      </c>
      <c r="D28" s="55"/>
    </row>
    <row r="29" spans="1:6" x14ac:dyDescent="0.25">
      <c r="A29" s="65"/>
      <c r="B29" s="87"/>
      <c r="C29" s="62"/>
      <c r="D29" s="55"/>
    </row>
    <row r="30" spans="1:6" ht="14.4" thickBot="1" x14ac:dyDescent="0.3">
      <c r="A30" s="65"/>
      <c r="B30" s="65"/>
      <c r="C30" s="62"/>
      <c r="D30" s="55"/>
    </row>
    <row r="31" spans="1:6" ht="15" x14ac:dyDescent="0.25">
      <c r="A31" s="73" t="s">
        <v>95</v>
      </c>
      <c r="B31" s="74"/>
      <c r="C31" s="74"/>
      <c r="D31" s="74"/>
      <c r="E31" s="74"/>
      <c r="F31" s="75"/>
    </row>
    <row r="32" spans="1:6" s="17" customFormat="1" ht="15" x14ac:dyDescent="0.25">
      <c r="A32" s="69" t="s">
        <v>2</v>
      </c>
      <c r="B32" s="70" t="s">
        <v>6</v>
      </c>
      <c r="C32" s="71" t="s">
        <v>5</v>
      </c>
      <c r="D32" s="71" t="s">
        <v>34</v>
      </c>
      <c r="E32" s="71" t="s">
        <v>4</v>
      </c>
      <c r="F32" s="72" t="s">
        <v>3</v>
      </c>
    </row>
    <row r="33" spans="1:6" x14ac:dyDescent="0.25">
      <c r="A33" s="18" t="s">
        <v>7</v>
      </c>
      <c r="B33" s="113"/>
      <c r="C33" s="114"/>
      <c r="D33" s="114"/>
      <c r="E33" s="115"/>
      <c r="F33" s="83"/>
    </row>
    <row r="34" spans="1:6" x14ac:dyDescent="0.25">
      <c r="A34" s="14" t="s">
        <v>26</v>
      </c>
      <c r="B34" s="113">
        <v>1</v>
      </c>
      <c r="C34" s="114">
        <v>1</v>
      </c>
      <c r="D34" s="114"/>
      <c r="E34" s="115">
        <v>286730.66666666669</v>
      </c>
      <c r="F34" s="92">
        <f t="shared" ref="F34:F58" si="0">C34*E34</f>
        <v>286730.66666666669</v>
      </c>
    </row>
    <row r="35" spans="1:6" x14ac:dyDescent="0.25">
      <c r="A35" s="14" t="s">
        <v>27</v>
      </c>
      <c r="B35" s="113">
        <v>2</v>
      </c>
      <c r="C35" s="114"/>
      <c r="D35" s="114"/>
      <c r="E35" s="115"/>
      <c r="F35" s="92">
        <f t="shared" si="0"/>
        <v>0</v>
      </c>
    </row>
    <row r="36" spans="1:6" x14ac:dyDescent="0.25">
      <c r="A36" s="20" t="s">
        <v>30</v>
      </c>
      <c r="B36" s="116"/>
      <c r="C36" s="117"/>
      <c r="D36" s="117"/>
      <c r="E36" s="118"/>
      <c r="F36" s="93">
        <f>SUM(F34:F35)</f>
        <v>286730.66666666669</v>
      </c>
    </row>
    <row r="37" spans="1:6" x14ac:dyDescent="0.25">
      <c r="A37" s="24" t="s">
        <v>8</v>
      </c>
      <c r="B37" s="119"/>
      <c r="C37" s="120"/>
      <c r="D37" s="120"/>
      <c r="E37" s="121"/>
      <c r="F37" s="83"/>
    </row>
    <row r="38" spans="1:6" x14ac:dyDescent="0.25">
      <c r="A38" s="14" t="s">
        <v>9</v>
      </c>
      <c r="B38" s="113">
        <v>3</v>
      </c>
      <c r="C38" s="114">
        <v>1</v>
      </c>
      <c r="D38" s="114"/>
      <c r="E38" s="115">
        <v>1376000</v>
      </c>
      <c r="F38" s="92">
        <f t="shared" si="0"/>
        <v>1376000</v>
      </c>
    </row>
    <row r="39" spans="1:6" x14ac:dyDescent="0.25">
      <c r="A39" s="14" t="s">
        <v>11</v>
      </c>
      <c r="B39" s="113">
        <v>4</v>
      </c>
      <c r="C39" s="114">
        <v>1</v>
      </c>
      <c r="D39" s="114"/>
      <c r="E39" s="115">
        <v>34000</v>
      </c>
      <c r="F39" s="92">
        <f t="shared" si="0"/>
        <v>34000</v>
      </c>
    </row>
    <row r="40" spans="1:6" x14ac:dyDescent="0.25">
      <c r="A40" s="14" t="s">
        <v>10</v>
      </c>
      <c r="B40" s="113">
        <v>5</v>
      </c>
      <c r="C40" s="114">
        <v>1</v>
      </c>
      <c r="D40" s="114"/>
      <c r="E40" s="115">
        <v>120500</v>
      </c>
      <c r="F40" s="92">
        <f t="shared" si="0"/>
        <v>120500</v>
      </c>
    </row>
    <row r="41" spans="1:6" x14ac:dyDescent="0.25">
      <c r="A41" s="14" t="s">
        <v>12</v>
      </c>
      <c r="B41" s="113">
        <v>6</v>
      </c>
      <c r="C41" s="114"/>
      <c r="D41" s="114"/>
      <c r="E41" s="115"/>
      <c r="F41" s="92">
        <f t="shared" si="0"/>
        <v>0</v>
      </c>
    </row>
    <row r="42" spans="1:6" x14ac:dyDescent="0.25">
      <c r="A42" s="20" t="s">
        <v>30</v>
      </c>
      <c r="B42" s="116"/>
      <c r="C42" s="117"/>
      <c r="D42" s="117"/>
      <c r="E42" s="118"/>
      <c r="F42" s="93">
        <f>SUM(F38:F41)</f>
        <v>1530500</v>
      </c>
    </row>
    <row r="43" spans="1:6" x14ac:dyDescent="0.25">
      <c r="A43" s="24" t="s">
        <v>13</v>
      </c>
      <c r="B43" s="119"/>
      <c r="C43" s="120"/>
      <c r="D43" s="120"/>
      <c r="E43" s="121"/>
      <c r="F43" s="83"/>
    </row>
    <row r="44" spans="1:6" x14ac:dyDescent="0.25">
      <c r="A44" s="14" t="s">
        <v>14</v>
      </c>
      <c r="B44" s="113">
        <v>7</v>
      </c>
      <c r="C44" s="114"/>
      <c r="D44" s="114"/>
      <c r="E44" s="115"/>
      <c r="F44" s="92">
        <f t="shared" si="0"/>
        <v>0</v>
      </c>
    </row>
    <row r="45" spans="1:6" x14ac:dyDescent="0.25">
      <c r="A45" s="14" t="s">
        <v>15</v>
      </c>
      <c r="B45" s="113">
        <v>8</v>
      </c>
      <c r="C45" s="114">
        <v>1</v>
      </c>
      <c r="D45" s="114"/>
      <c r="E45" s="115">
        <f>47960+30660+10000</f>
        <v>88620</v>
      </c>
      <c r="F45" s="92">
        <f t="shared" si="0"/>
        <v>88620</v>
      </c>
    </row>
    <row r="46" spans="1:6" x14ac:dyDescent="0.25">
      <c r="A46" s="14" t="s">
        <v>16</v>
      </c>
      <c r="B46" s="113">
        <v>9</v>
      </c>
      <c r="C46" s="114"/>
      <c r="D46" s="114"/>
      <c r="E46" s="115"/>
      <c r="F46" s="92">
        <f t="shared" si="0"/>
        <v>0</v>
      </c>
    </row>
    <row r="47" spans="1:6" x14ac:dyDescent="0.25">
      <c r="A47" s="14" t="s">
        <v>17</v>
      </c>
      <c r="B47" s="113">
        <v>10</v>
      </c>
      <c r="C47" s="114">
        <v>1</v>
      </c>
      <c r="D47" s="114"/>
      <c r="E47" s="114">
        <v>225000</v>
      </c>
      <c r="F47" s="92">
        <f t="shared" si="0"/>
        <v>225000</v>
      </c>
    </row>
    <row r="48" spans="1:6" x14ac:dyDescent="0.25">
      <c r="A48" s="14" t="s">
        <v>18</v>
      </c>
      <c r="B48" s="113">
        <v>11</v>
      </c>
      <c r="C48" s="114"/>
      <c r="D48" s="114"/>
      <c r="E48" s="115"/>
      <c r="F48" s="92">
        <f t="shared" si="0"/>
        <v>0</v>
      </c>
    </row>
    <row r="49" spans="1:23 16384:16384" x14ac:dyDescent="0.25">
      <c r="A49" s="14" t="s">
        <v>220</v>
      </c>
      <c r="B49" s="113">
        <v>12</v>
      </c>
      <c r="C49" s="114">
        <v>1</v>
      </c>
      <c r="D49" s="114"/>
      <c r="E49" s="115">
        <v>487900</v>
      </c>
      <c r="F49" s="92">
        <f t="shared" si="0"/>
        <v>487900</v>
      </c>
    </row>
    <row r="50" spans="1:23 16384:16384" x14ac:dyDescent="0.25">
      <c r="A50" s="20" t="s">
        <v>31</v>
      </c>
      <c r="B50" s="116"/>
      <c r="C50" s="117"/>
      <c r="D50" s="117"/>
      <c r="E50" s="118"/>
      <c r="F50" s="93">
        <f>SUM(F44:F49)</f>
        <v>801520</v>
      </c>
    </row>
    <row r="51" spans="1:23 16384:16384" x14ac:dyDescent="0.25">
      <c r="A51" s="24" t="s">
        <v>29</v>
      </c>
      <c r="B51" s="119"/>
      <c r="C51" s="120"/>
      <c r="D51" s="120"/>
      <c r="E51" s="121"/>
      <c r="F51" s="83"/>
    </row>
    <row r="52" spans="1:23 16384:16384" x14ac:dyDescent="0.25">
      <c r="A52" s="14" t="s">
        <v>210</v>
      </c>
      <c r="B52" s="113">
        <v>13</v>
      </c>
      <c r="C52" s="114">
        <v>1</v>
      </c>
      <c r="D52" s="114"/>
      <c r="E52" s="115">
        <v>254680</v>
      </c>
      <c r="F52" s="92">
        <f t="shared" si="0"/>
        <v>254680</v>
      </c>
    </row>
    <row r="53" spans="1:23 16384:16384" x14ac:dyDescent="0.25">
      <c r="A53" s="14" t="s">
        <v>211</v>
      </c>
      <c r="B53" s="113">
        <v>14</v>
      </c>
      <c r="C53" s="114">
        <v>1</v>
      </c>
      <c r="D53" s="114"/>
      <c r="E53" s="115">
        <f>361260+77280</f>
        <v>438540</v>
      </c>
      <c r="F53" s="92">
        <f t="shared" si="0"/>
        <v>438540</v>
      </c>
    </row>
    <row r="54" spans="1:23 16384:16384" x14ac:dyDescent="0.25">
      <c r="A54" s="14" t="s">
        <v>212</v>
      </c>
      <c r="B54" s="113">
        <v>15</v>
      </c>
      <c r="C54" s="114">
        <v>1</v>
      </c>
      <c r="D54" s="114"/>
      <c r="E54" s="115">
        <f>2*7800</f>
        <v>15600</v>
      </c>
      <c r="F54" s="92">
        <f t="shared" si="0"/>
        <v>15600</v>
      </c>
    </row>
    <row r="55" spans="1:23 16384:16384" x14ac:dyDescent="0.25">
      <c r="A55" s="14" t="s">
        <v>28</v>
      </c>
      <c r="B55" s="113">
        <v>16</v>
      </c>
      <c r="C55" s="114">
        <v>80</v>
      </c>
      <c r="D55" s="114"/>
      <c r="E55" s="115">
        <v>225</v>
      </c>
      <c r="F55" s="92">
        <f t="shared" si="0"/>
        <v>18000</v>
      </c>
    </row>
    <row r="56" spans="1:23 16384:16384" x14ac:dyDescent="0.25">
      <c r="A56" s="14" t="s">
        <v>214</v>
      </c>
      <c r="B56" s="113">
        <v>17</v>
      </c>
      <c r="C56" s="114">
        <v>1</v>
      </c>
      <c r="D56" s="114"/>
      <c r="E56" s="115">
        <v>100000</v>
      </c>
      <c r="F56" s="92">
        <f t="shared" si="0"/>
        <v>100000</v>
      </c>
      <c r="W56" s="3">
        <v>35</v>
      </c>
    </row>
    <row r="57" spans="1:23 16384:16384" x14ac:dyDescent="0.25">
      <c r="A57" s="14" t="s">
        <v>218</v>
      </c>
      <c r="B57" s="113">
        <v>18</v>
      </c>
      <c r="C57" s="114">
        <v>1</v>
      </c>
      <c r="D57" s="114"/>
      <c r="E57" s="115">
        <v>2000</v>
      </c>
      <c r="F57" s="92">
        <f t="shared" si="0"/>
        <v>2000</v>
      </c>
    </row>
    <row r="58" spans="1:23 16384:16384" x14ac:dyDescent="0.25">
      <c r="A58" s="14" t="s">
        <v>215</v>
      </c>
      <c r="B58" s="113">
        <v>19</v>
      </c>
      <c r="C58" s="114">
        <v>1</v>
      </c>
      <c r="D58" s="114"/>
      <c r="E58" s="115">
        <v>25000</v>
      </c>
      <c r="F58" s="92">
        <f t="shared" si="0"/>
        <v>25000</v>
      </c>
      <c r="W58" s="3">
        <v>56</v>
      </c>
    </row>
    <row r="59" spans="1:23 16384:16384" x14ac:dyDescent="0.25">
      <c r="A59" s="20" t="s">
        <v>32</v>
      </c>
      <c r="B59" s="116"/>
      <c r="C59" s="117"/>
      <c r="D59" s="117"/>
      <c r="E59" s="118"/>
      <c r="F59" s="93">
        <f>SUM(F52:F58)</f>
        <v>853820</v>
      </c>
      <c r="W59" s="3">
        <f>SUM(W56:W58)</f>
        <v>91</v>
      </c>
      <c r="XFD59" s="226">
        <f>SUM(F59:XFC59)</f>
        <v>853911</v>
      </c>
    </row>
    <row r="60" spans="1:23 16384:16384" x14ac:dyDescent="0.25">
      <c r="A60" s="24" t="s">
        <v>19</v>
      </c>
      <c r="B60" s="119"/>
      <c r="C60" s="120"/>
      <c r="D60" s="120"/>
      <c r="E60" s="121"/>
      <c r="F60" s="84"/>
    </row>
    <row r="61" spans="1:23 16384:16384" x14ac:dyDescent="0.25">
      <c r="A61" s="14" t="s">
        <v>20</v>
      </c>
      <c r="B61" s="113"/>
      <c r="C61" s="114"/>
      <c r="D61" s="114"/>
      <c r="E61" s="115"/>
      <c r="F61" s="92">
        <f t="shared" ref="F61:F65" si="1">C61*E61</f>
        <v>0</v>
      </c>
      <c r="V61" s="3">
        <v>200</v>
      </c>
    </row>
    <row r="62" spans="1:23 16384:16384" x14ac:dyDescent="0.25">
      <c r="A62" s="14" t="s">
        <v>21</v>
      </c>
      <c r="B62" s="113"/>
      <c r="C62" s="114"/>
      <c r="D62" s="114"/>
      <c r="E62" s="115"/>
      <c r="F62" s="92">
        <f t="shared" si="1"/>
        <v>0</v>
      </c>
    </row>
    <row r="63" spans="1:23 16384:16384" x14ac:dyDescent="0.25">
      <c r="A63" s="14" t="s">
        <v>22</v>
      </c>
      <c r="B63" s="113"/>
      <c r="C63" s="114"/>
      <c r="D63" s="114"/>
      <c r="E63" s="115"/>
      <c r="F63" s="92">
        <f t="shared" si="1"/>
        <v>0</v>
      </c>
    </row>
    <row r="64" spans="1:23 16384:16384" x14ac:dyDescent="0.25">
      <c r="A64" s="14" t="s">
        <v>23</v>
      </c>
      <c r="B64" s="113"/>
      <c r="C64" s="114"/>
      <c r="D64" s="114"/>
      <c r="E64" s="115"/>
      <c r="F64" s="92">
        <f t="shared" si="1"/>
        <v>0</v>
      </c>
    </row>
    <row r="65" spans="1:6" x14ac:dyDescent="0.25">
      <c r="A65" s="14" t="s">
        <v>24</v>
      </c>
      <c r="B65" s="113"/>
      <c r="C65" s="114"/>
      <c r="D65" s="114"/>
      <c r="E65" s="115"/>
      <c r="F65" s="92">
        <f t="shared" si="1"/>
        <v>0</v>
      </c>
    </row>
    <row r="66" spans="1:6" x14ac:dyDescent="0.25">
      <c r="A66" s="20" t="s">
        <v>33</v>
      </c>
      <c r="B66" s="116"/>
      <c r="C66" s="117"/>
      <c r="D66" s="117"/>
      <c r="E66" s="118"/>
      <c r="F66" s="93">
        <f>SUM(F61:F65)</f>
        <v>0</v>
      </c>
    </row>
    <row r="67" spans="1:6" x14ac:dyDescent="0.25">
      <c r="A67" s="24" t="s">
        <v>81</v>
      </c>
      <c r="B67" s="119"/>
      <c r="C67" s="120"/>
      <c r="D67" s="120"/>
      <c r="E67" s="121"/>
      <c r="F67" s="84"/>
    </row>
    <row r="68" spans="1:6" x14ac:dyDescent="0.25">
      <c r="A68" s="14" t="s">
        <v>25</v>
      </c>
      <c r="B68" s="113">
        <v>20</v>
      </c>
      <c r="C68" s="114">
        <v>30</v>
      </c>
      <c r="D68" s="114" t="s">
        <v>191</v>
      </c>
      <c r="E68" s="115">
        <v>900</v>
      </c>
      <c r="F68" s="92">
        <f t="shared" ref="F68" si="2">C68*E68</f>
        <v>27000</v>
      </c>
    </row>
    <row r="69" spans="1:6" x14ac:dyDescent="0.25">
      <c r="A69" s="14" t="s">
        <v>83</v>
      </c>
      <c r="B69" s="113">
        <v>21</v>
      </c>
      <c r="C69" s="99">
        <f>$B$23</f>
        <v>0.05</v>
      </c>
      <c r="D69" s="114"/>
      <c r="E69" s="115">
        <f>F34*8/52+F38*5/52</f>
        <v>176420.10256410256</v>
      </c>
      <c r="F69" s="92">
        <f>C69*E69</f>
        <v>8821.0051282051281</v>
      </c>
    </row>
    <row r="70" spans="1:6" x14ac:dyDescent="0.25">
      <c r="A70" s="20" t="s">
        <v>82</v>
      </c>
      <c r="B70" s="21"/>
      <c r="C70" s="22"/>
      <c r="D70" s="22"/>
      <c r="E70" s="23"/>
      <c r="F70" s="93">
        <f>SUM(F68:F69)</f>
        <v>35821.005128205128</v>
      </c>
    </row>
    <row r="71" spans="1:6" x14ac:dyDescent="0.25">
      <c r="A71" s="26" t="s">
        <v>138</v>
      </c>
      <c r="B71" s="25"/>
      <c r="C71" s="27"/>
      <c r="D71" s="27"/>
      <c r="E71" s="28"/>
      <c r="F71" s="94">
        <f>$F$36+$F$42+$F$50+$F$59+$F$66+$F$70</f>
        <v>3508391.6717948723</v>
      </c>
    </row>
    <row r="72" spans="1:6" s="46" customFormat="1" x14ac:dyDescent="0.25">
      <c r="A72" s="42" t="s">
        <v>219</v>
      </c>
      <c r="B72" s="43"/>
      <c r="C72" s="44"/>
      <c r="D72" s="44"/>
      <c r="E72" s="45"/>
      <c r="F72" s="95">
        <f>IF((($F$71-F49-F69-F56)*0.4)&lt;1200000,-($F$71-F49-F69-F56)*0.4,-1200000)</f>
        <v>-1164668.2666666668</v>
      </c>
    </row>
    <row r="73" spans="1:6" s="9" customFormat="1" x14ac:dyDescent="0.25">
      <c r="A73" s="56" t="s">
        <v>75</v>
      </c>
      <c r="B73" s="21"/>
      <c r="C73" s="57"/>
      <c r="D73" s="57"/>
      <c r="E73" s="58"/>
      <c r="F73" s="96">
        <f>$F$71+$F$72</f>
        <v>2343723.4051282052</v>
      </c>
    </row>
    <row r="74" spans="1:6" s="9" customFormat="1" x14ac:dyDescent="0.25">
      <c r="A74" s="29" t="s">
        <v>69</v>
      </c>
      <c r="B74" s="19"/>
      <c r="C74" s="30"/>
      <c r="D74" s="30"/>
      <c r="E74" s="31"/>
      <c r="F74" s="97">
        <f>$F$71/$B$14</f>
        <v>11694.638905982907</v>
      </c>
    </row>
    <row r="75" spans="1:6" x14ac:dyDescent="0.25">
      <c r="A75" s="29" t="s">
        <v>76</v>
      </c>
      <c r="B75" s="19"/>
      <c r="C75" s="30"/>
      <c r="D75" s="30"/>
      <c r="E75" s="31"/>
      <c r="F75" s="97">
        <f>($F$71+$F$72)/$B$14</f>
        <v>7812.411350427351</v>
      </c>
    </row>
    <row r="76" spans="1:6" x14ac:dyDescent="0.25">
      <c r="A76" s="32" t="s">
        <v>36</v>
      </c>
      <c r="B76" s="190"/>
      <c r="C76" s="191"/>
      <c r="D76" s="191"/>
      <c r="E76" s="192"/>
      <c r="F76" s="193"/>
    </row>
    <row r="77" spans="1:6" ht="14.4" thickBot="1" x14ac:dyDescent="0.3">
      <c r="A77" s="33" t="s">
        <v>139</v>
      </c>
      <c r="B77" s="34"/>
      <c r="C77" s="35"/>
      <c r="D77" s="35"/>
      <c r="E77" s="35"/>
      <c r="F77" s="98">
        <f>$F$71+$F$76</f>
        <v>3508391.6717948723</v>
      </c>
    </row>
    <row r="82" spans="1:4" x14ac:dyDescent="0.25">
      <c r="A82" s="59"/>
      <c r="B82" s="61"/>
      <c r="C82" s="61"/>
      <c r="D82" s="55"/>
    </row>
  </sheetData>
  <dataValidations count="1">
    <dataValidation type="list" allowBlank="1" showInputMessage="1" showErrorMessage="1" promptTitle="Välj djurslag" sqref="C14">
      <formula1>Djurslag</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0.499984740745262"/>
  </sheetPr>
  <dimension ref="A1:BA85"/>
  <sheetViews>
    <sheetView tabSelected="1" zoomScaleNormal="100" workbookViewId="0">
      <selection activeCell="E3" sqref="E3"/>
    </sheetView>
  </sheetViews>
  <sheetFormatPr defaultColWidth="9.109375" defaultRowHeight="13.8" x14ac:dyDescent="0.25"/>
  <cols>
    <col min="1" max="1" width="39.44140625" style="143" customWidth="1"/>
    <col min="2" max="2" width="6.33203125" style="143" customWidth="1"/>
    <col min="3" max="3" width="13.109375" style="143" bestFit="1" customWidth="1"/>
    <col min="4" max="4" width="9.109375" style="143" customWidth="1"/>
    <col min="5" max="5" width="15.33203125" style="143" customWidth="1"/>
    <col min="6" max="6" width="14.44140625" style="143" bestFit="1" customWidth="1"/>
    <col min="7" max="7" width="14.88671875" style="143" customWidth="1"/>
    <col min="8" max="8" width="14.44140625" style="143" bestFit="1" customWidth="1"/>
    <col min="9" max="9" width="9.109375" style="143"/>
    <col min="10" max="10" width="9.5546875" style="143" bestFit="1" customWidth="1"/>
    <col min="11" max="16384" width="9.109375" style="143"/>
  </cols>
  <sheetData>
    <row r="1" spans="1:38" ht="27.6" x14ac:dyDescent="0.45">
      <c r="A1" s="151" t="s">
        <v>117</v>
      </c>
    </row>
    <row r="2" spans="1:38" ht="14.4" thickBot="1" x14ac:dyDescent="0.3"/>
    <row r="3" spans="1:38" x14ac:dyDescent="0.25">
      <c r="A3" s="152" t="s">
        <v>61</v>
      </c>
      <c r="B3" s="153"/>
      <c r="C3" s="154"/>
    </row>
    <row r="4" spans="1:38" x14ac:dyDescent="0.25">
      <c r="A4" s="128" t="s">
        <v>35</v>
      </c>
      <c r="B4" s="155">
        <f>IF(Investeringskalkyl!$C$14="tackor",Investeringskalkyl!$B$14,0)</f>
        <v>300</v>
      </c>
      <c r="C4" s="156" t="s">
        <v>43</v>
      </c>
      <c r="D4" s="157"/>
    </row>
    <row r="5" spans="1:38" ht="15.75" customHeight="1" thickBot="1" x14ac:dyDescent="0.3">
      <c r="A5" s="194" t="s">
        <v>118</v>
      </c>
      <c r="B5" s="201">
        <v>1.61</v>
      </c>
      <c r="C5" s="158" t="s">
        <v>140</v>
      </c>
      <c r="D5" s="157"/>
    </row>
    <row r="6" spans="1:38" ht="14.4" thickBot="1" x14ac:dyDescent="0.3">
      <c r="A6" s="195"/>
    </row>
    <row r="7" spans="1:38" x14ac:dyDescent="0.25">
      <c r="A7" s="138" t="s">
        <v>66</v>
      </c>
      <c r="B7" s="217"/>
      <c r="C7" s="139"/>
    </row>
    <row r="8" spans="1:38" ht="14.4" thickBot="1" x14ac:dyDescent="0.3">
      <c r="A8" s="127" t="s">
        <v>115</v>
      </c>
      <c r="B8" s="218"/>
      <c r="C8" s="86">
        <f>$C$14*$B$4</f>
        <v>159385.11726764659</v>
      </c>
    </row>
    <row r="9" spans="1:38" x14ac:dyDescent="0.25">
      <c r="A9" s="128" t="s">
        <v>116</v>
      </c>
      <c r="B9" s="219"/>
      <c r="C9" s="202">
        <f>$C$8/$H$32</f>
        <v>0.11285995509796974</v>
      </c>
    </row>
    <row r="10" spans="1:38" ht="14.4" thickBot="1" x14ac:dyDescent="0.3">
      <c r="A10" s="129" t="s">
        <v>130</v>
      </c>
      <c r="B10" s="220"/>
      <c r="C10" s="130">
        <f>$H$63+$H$65+H64</f>
        <v>433500</v>
      </c>
    </row>
    <row r="11" spans="1:38" x14ac:dyDescent="0.25">
      <c r="A11" s="138" t="s">
        <v>129</v>
      </c>
      <c r="B11" s="221"/>
      <c r="C11" s="196"/>
    </row>
    <row r="12" spans="1:38" ht="18.75" customHeight="1" x14ac:dyDescent="0.25">
      <c r="A12" s="131" t="s">
        <v>87</v>
      </c>
      <c r="B12" s="222"/>
      <c r="C12" s="85">
        <f>$F$32-$F$53</f>
        <v>3029.96</v>
      </c>
    </row>
    <row r="13" spans="1:38" x14ac:dyDescent="0.25">
      <c r="A13" s="131" t="s">
        <v>88</v>
      </c>
      <c r="B13" s="222"/>
      <c r="C13" s="85">
        <f>$F$32-$F$53-$F$59</f>
        <v>2747.9493054700856</v>
      </c>
    </row>
    <row r="14" spans="1:38" ht="14.4" thickBot="1" x14ac:dyDescent="0.3">
      <c r="A14" s="127" t="s">
        <v>89</v>
      </c>
      <c r="B14" s="218"/>
      <c r="C14" s="86">
        <f>$F$32-$F$53-$F59-$F$67</f>
        <v>531.28372422548864</v>
      </c>
    </row>
    <row r="15" spans="1:38" s="145" customFormat="1" ht="12.15" customHeight="1" x14ac:dyDescent="0.25">
      <c r="A15" s="125"/>
      <c r="B15" s="123"/>
      <c r="C15" s="140"/>
      <c r="D15" s="140"/>
      <c r="E15" s="141"/>
      <c r="F15" s="141"/>
      <c r="G15" s="143"/>
      <c r="H15" s="142"/>
      <c r="I15" s="143"/>
      <c r="J15" s="143"/>
      <c r="K15" s="143"/>
      <c r="L15" s="144"/>
      <c r="N15" s="142"/>
      <c r="O15" s="142"/>
      <c r="P15" s="142"/>
      <c r="Q15" s="142"/>
      <c r="R15" s="142"/>
      <c r="S15" s="142"/>
      <c r="T15" s="142"/>
      <c r="U15" s="142"/>
      <c r="V15" s="142"/>
      <c r="W15" s="142"/>
      <c r="Z15" s="146"/>
      <c r="AA15" s="146"/>
      <c r="AB15" s="146"/>
      <c r="AC15" s="146"/>
      <c r="AD15" s="147"/>
      <c r="AE15" s="147"/>
      <c r="AF15" s="147"/>
      <c r="AG15" s="147"/>
      <c r="AH15" s="147"/>
      <c r="AI15" s="147"/>
      <c r="AJ15" s="147"/>
      <c r="AK15" s="147"/>
      <c r="AL15" s="147"/>
    </row>
    <row r="16" spans="1:38" s="145" customFormat="1" ht="12.15" customHeight="1" x14ac:dyDescent="0.25">
      <c r="A16" s="148"/>
      <c r="B16" s="149"/>
      <c r="C16" s="150"/>
      <c r="D16" s="150"/>
      <c r="E16" s="150"/>
      <c r="F16" s="150"/>
      <c r="G16" s="143"/>
      <c r="H16" s="142"/>
      <c r="I16" s="143"/>
      <c r="J16" s="143"/>
      <c r="K16" s="143"/>
      <c r="L16" s="144"/>
      <c r="N16" s="142"/>
      <c r="O16" s="142"/>
      <c r="P16" s="142"/>
      <c r="Q16" s="142"/>
      <c r="R16" s="142"/>
      <c r="S16" s="142"/>
      <c r="T16" s="142"/>
      <c r="U16" s="142"/>
      <c r="V16" s="142"/>
      <c r="W16" s="142"/>
      <c r="Z16" s="146"/>
      <c r="AA16" s="146"/>
      <c r="AB16" s="146"/>
      <c r="AC16" s="146"/>
      <c r="AD16" s="147"/>
      <c r="AE16" s="147"/>
      <c r="AF16" s="147"/>
      <c r="AG16" s="147"/>
      <c r="AH16" s="147"/>
      <c r="AI16" s="147"/>
      <c r="AJ16" s="147"/>
      <c r="AK16" s="147"/>
      <c r="AL16" s="147"/>
    </row>
    <row r="17" spans="1:53" s="145" customFormat="1" ht="27.6" x14ac:dyDescent="0.25">
      <c r="A17" s="159" t="s">
        <v>98</v>
      </c>
      <c r="B17" s="160" t="s">
        <v>6</v>
      </c>
      <c r="C17" s="161" t="s">
        <v>121</v>
      </c>
      <c r="D17" s="161" t="s">
        <v>34</v>
      </c>
      <c r="E17" s="161" t="s">
        <v>64</v>
      </c>
      <c r="F17" s="161" t="s">
        <v>122</v>
      </c>
      <c r="G17" s="162" t="s">
        <v>123</v>
      </c>
      <c r="H17" s="162" t="s">
        <v>85</v>
      </c>
      <c r="I17" s="143"/>
      <c r="J17" s="143"/>
      <c r="K17" s="143"/>
      <c r="L17" s="144"/>
      <c r="N17" s="142"/>
      <c r="O17" s="142"/>
      <c r="P17" s="142"/>
      <c r="Q17" s="142"/>
      <c r="R17" s="142"/>
      <c r="S17" s="142"/>
      <c r="T17" s="142"/>
      <c r="U17" s="142"/>
      <c r="V17" s="142"/>
      <c r="W17" s="142"/>
      <c r="Z17" s="146"/>
      <c r="AA17" s="146"/>
      <c r="AB17" s="146"/>
      <c r="AC17" s="146"/>
      <c r="AD17" s="147"/>
      <c r="AE17" s="147"/>
      <c r="AF17" s="147"/>
      <c r="AG17" s="147"/>
      <c r="AH17" s="147"/>
      <c r="AI17" s="147"/>
      <c r="AJ17" s="147"/>
      <c r="AK17" s="147"/>
      <c r="AL17" s="147"/>
    </row>
    <row r="18" spans="1:53" s="145" customFormat="1" x14ac:dyDescent="0.25">
      <c r="A18" s="125" t="s">
        <v>119</v>
      </c>
      <c r="B18" s="41">
        <v>1</v>
      </c>
      <c r="C18" s="197">
        <f>B5-C20</f>
        <v>1.56</v>
      </c>
      <c r="D18" s="36" t="s">
        <v>49</v>
      </c>
      <c r="E18" s="51">
        <v>1008</v>
      </c>
      <c r="F18" s="132">
        <f>C18*E18</f>
        <v>1572.48</v>
      </c>
      <c r="G18" s="137">
        <f t="shared" ref="G18:G30" si="0">F18/$B$5</f>
        <v>976.695652173913</v>
      </c>
      <c r="H18" s="132">
        <f t="shared" ref="H18:H30" si="1">F18*$B$4</f>
        <v>471744</v>
      </c>
      <c r="I18" s="143"/>
      <c r="J18" s="143"/>
      <c r="K18" s="143"/>
      <c r="L18" s="144"/>
      <c r="N18" s="142"/>
      <c r="O18" s="163"/>
      <c r="P18" s="142"/>
      <c r="Q18" s="142"/>
      <c r="R18" s="142"/>
      <c r="S18" s="142"/>
      <c r="T18" s="142"/>
      <c r="U18" s="142"/>
      <c r="V18" s="142"/>
      <c r="W18" s="142"/>
      <c r="Z18" s="146"/>
      <c r="AA18" s="146"/>
      <c r="AB18" s="146"/>
      <c r="AC18" s="146"/>
      <c r="AD18" s="147"/>
      <c r="AE18" s="147"/>
      <c r="AF18" s="147"/>
      <c r="AG18" s="147"/>
      <c r="AH18" s="147"/>
      <c r="AI18" s="147"/>
      <c r="AJ18" s="147"/>
      <c r="AK18" s="147"/>
      <c r="AL18" s="147"/>
    </row>
    <row r="19" spans="1:53" s="145" customFormat="1" x14ac:dyDescent="0.25">
      <c r="A19" s="125" t="s">
        <v>124</v>
      </c>
      <c r="B19" s="41">
        <v>2</v>
      </c>
      <c r="C19" s="197">
        <f>C18</f>
        <v>1.56</v>
      </c>
      <c r="D19" s="36" t="s">
        <v>49</v>
      </c>
      <c r="E19" s="51">
        <v>594</v>
      </c>
      <c r="F19" s="132">
        <f>C19*E19</f>
        <v>926.64</v>
      </c>
      <c r="G19" s="137">
        <f t="shared" ref="G19" si="2">F19/$B$5</f>
        <v>575.55279503105589</v>
      </c>
      <c r="H19" s="132">
        <f t="shared" ref="H19" si="3">F19*$B$4</f>
        <v>277992</v>
      </c>
      <c r="I19" s="143"/>
      <c r="J19" s="143"/>
      <c r="K19" s="143"/>
      <c r="L19" s="144"/>
      <c r="N19" s="142"/>
      <c r="O19" s="163"/>
      <c r="P19" s="142"/>
      <c r="Q19" s="142"/>
      <c r="R19" s="142"/>
      <c r="S19" s="142"/>
      <c r="T19" s="142"/>
      <c r="U19" s="142"/>
      <c r="V19" s="142"/>
      <c r="W19" s="142"/>
      <c r="Z19" s="146"/>
      <c r="AA19" s="146"/>
      <c r="AB19" s="146"/>
      <c r="AC19" s="146"/>
      <c r="AD19" s="147"/>
      <c r="AE19" s="147"/>
      <c r="AF19" s="147"/>
      <c r="AG19" s="147"/>
      <c r="AH19" s="147"/>
      <c r="AI19" s="147"/>
      <c r="AJ19" s="147"/>
      <c r="AK19" s="147"/>
      <c r="AL19" s="147"/>
    </row>
    <row r="20" spans="1:53" s="145" customFormat="1" x14ac:dyDescent="0.25">
      <c r="A20" s="125" t="s">
        <v>169</v>
      </c>
      <c r="B20" s="41">
        <v>3</v>
      </c>
      <c r="C20" s="38">
        <v>0.05</v>
      </c>
      <c r="D20" s="40" t="s">
        <v>49</v>
      </c>
      <c r="E20" s="51">
        <v>2500</v>
      </c>
      <c r="F20" s="132">
        <f t="shared" ref="F20:F22" si="4">C20*E20</f>
        <v>125</v>
      </c>
      <c r="G20" s="137">
        <f t="shared" ref="G20:G22" si="5">F20/$B$5</f>
        <v>77.639751552795033</v>
      </c>
      <c r="H20" s="132">
        <f t="shared" ref="H20:H22" si="6">F20*$B$4</f>
        <v>37500</v>
      </c>
      <c r="I20" s="143"/>
      <c r="J20" s="143"/>
      <c r="K20" s="143"/>
      <c r="L20" s="144"/>
      <c r="N20" s="142"/>
      <c r="O20" s="163"/>
      <c r="P20" s="142"/>
      <c r="Q20" s="142"/>
      <c r="R20" s="142"/>
      <c r="S20" s="142"/>
      <c r="T20" s="142"/>
      <c r="U20" s="142"/>
      <c r="V20" s="142"/>
      <c r="W20" s="183"/>
      <c r="Z20" s="146"/>
      <c r="AA20" s="146"/>
      <c r="AB20" s="146"/>
      <c r="AC20" s="146"/>
      <c r="AD20" s="147"/>
      <c r="AE20" s="147"/>
      <c r="AF20" s="147"/>
      <c r="AG20" s="147"/>
      <c r="AH20" s="147"/>
      <c r="AI20" s="147"/>
      <c r="AJ20" s="147"/>
      <c r="AK20" s="147"/>
      <c r="AL20" s="147"/>
    </row>
    <row r="21" spans="1:53" s="145" customFormat="1" x14ac:dyDescent="0.25">
      <c r="A21" s="125" t="s">
        <v>168</v>
      </c>
      <c r="B21" s="41">
        <v>3</v>
      </c>
      <c r="C21" s="38">
        <v>0.2</v>
      </c>
      <c r="D21" s="40" t="s">
        <v>49</v>
      </c>
      <c r="E21" s="51">
        <v>2500</v>
      </c>
      <c r="F21" s="132"/>
      <c r="G21" s="137"/>
      <c r="H21" s="132"/>
      <c r="I21" s="143"/>
      <c r="J21" s="143"/>
      <c r="K21" s="143"/>
      <c r="L21" s="144"/>
      <c r="N21" s="142"/>
      <c r="O21" s="163"/>
      <c r="P21" s="142"/>
      <c r="Q21" s="142"/>
      <c r="R21" s="142"/>
      <c r="S21" s="142"/>
      <c r="T21" s="142"/>
      <c r="U21" s="142"/>
      <c r="V21" s="142"/>
      <c r="W21" s="183"/>
      <c r="Z21" s="146"/>
      <c r="AA21" s="146"/>
      <c r="AB21" s="146"/>
      <c r="AC21" s="146"/>
      <c r="AD21" s="147"/>
      <c r="AE21" s="147"/>
      <c r="AF21" s="147"/>
      <c r="AG21" s="147"/>
      <c r="AH21" s="147"/>
      <c r="AI21" s="147"/>
      <c r="AJ21" s="147"/>
      <c r="AK21" s="147"/>
      <c r="AL21" s="147"/>
    </row>
    <row r="22" spans="1:53" s="145" customFormat="1" x14ac:dyDescent="0.25">
      <c r="A22" s="125" t="s">
        <v>126</v>
      </c>
      <c r="B22" s="41">
        <v>4</v>
      </c>
      <c r="C22" s="38">
        <v>2</v>
      </c>
      <c r="D22" s="40" t="s">
        <v>50</v>
      </c>
      <c r="E22" s="51">
        <v>25</v>
      </c>
      <c r="F22" s="132">
        <f t="shared" si="4"/>
        <v>50</v>
      </c>
      <c r="G22" s="137">
        <f t="shared" si="5"/>
        <v>31.05590062111801</v>
      </c>
      <c r="H22" s="132">
        <f t="shared" si="6"/>
        <v>15000</v>
      </c>
      <c r="I22" s="143"/>
      <c r="J22" s="143"/>
      <c r="K22" s="143"/>
      <c r="L22" s="144"/>
      <c r="N22" s="142"/>
      <c r="O22" s="163"/>
      <c r="P22" s="142"/>
      <c r="Q22" s="142"/>
      <c r="R22" s="142"/>
      <c r="S22" s="142"/>
      <c r="T22" s="142"/>
      <c r="U22" s="142"/>
      <c r="V22" s="142"/>
      <c r="W22" s="183"/>
      <c r="Z22" s="146"/>
      <c r="AA22" s="146"/>
      <c r="AB22" s="146"/>
      <c r="AC22" s="146"/>
      <c r="AD22" s="147"/>
      <c r="AE22" s="147"/>
      <c r="AF22" s="147"/>
      <c r="AG22" s="147"/>
      <c r="AH22" s="147"/>
      <c r="AI22" s="147"/>
      <c r="AJ22" s="147"/>
      <c r="AK22" s="147"/>
      <c r="AL22" s="147"/>
    </row>
    <row r="23" spans="1:53" s="145" customFormat="1" x14ac:dyDescent="0.25">
      <c r="A23" s="125" t="s">
        <v>162</v>
      </c>
      <c r="B23" s="41">
        <v>5</v>
      </c>
      <c r="C23" s="38">
        <v>0.2</v>
      </c>
      <c r="D23" s="40" t="s">
        <v>49</v>
      </c>
      <c r="E23" s="51">
        <v>2500</v>
      </c>
      <c r="F23" s="132">
        <f t="shared" ref="F23:F30" si="7">C23*E23</f>
        <v>500</v>
      </c>
      <c r="G23" s="137">
        <f t="shared" si="0"/>
        <v>310.55900621118013</v>
      </c>
      <c r="H23" s="132">
        <f t="shared" si="1"/>
        <v>150000</v>
      </c>
      <c r="I23" s="143"/>
      <c r="J23" s="225"/>
      <c r="K23" s="143"/>
      <c r="L23" s="144"/>
      <c r="N23" s="142"/>
      <c r="O23" s="163"/>
      <c r="P23" s="142"/>
      <c r="Q23" s="142"/>
      <c r="R23" s="142"/>
      <c r="S23" s="142"/>
      <c r="T23" s="142"/>
      <c r="U23" s="142"/>
      <c r="V23" s="142"/>
      <c r="W23" s="183"/>
      <c r="Z23" s="146"/>
      <c r="AA23" s="146"/>
      <c r="AB23" s="146"/>
      <c r="AC23" s="146"/>
      <c r="AD23" s="147"/>
      <c r="AE23" s="147"/>
      <c r="AF23" s="147"/>
      <c r="AG23" s="147"/>
      <c r="AH23" s="147"/>
      <c r="AI23" s="147"/>
      <c r="AJ23" s="147"/>
      <c r="AK23" s="147"/>
      <c r="AL23" s="147"/>
    </row>
    <row r="24" spans="1:53" s="145" customFormat="1" x14ac:dyDescent="0.25">
      <c r="A24" s="125" t="s">
        <v>163</v>
      </c>
      <c r="B24" s="41">
        <v>6</v>
      </c>
      <c r="C24" s="38">
        <v>0.2</v>
      </c>
      <c r="D24" s="40" t="s">
        <v>49</v>
      </c>
      <c r="E24" s="51">
        <v>2000</v>
      </c>
      <c r="F24" s="132">
        <f t="shared" ref="F24" si="8">C24*E24</f>
        <v>400</v>
      </c>
      <c r="G24" s="137">
        <f t="shared" ref="G24" si="9">F24/$B$5</f>
        <v>248.44720496894408</v>
      </c>
      <c r="H24" s="132">
        <f t="shared" ref="H24" si="10">F24*$B$4</f>
        <v>120000</v>
      </c>
      <c r="I24" s="143"/>
      <c r="J24" s="143"/>
      <c r="K24" s="143"/>
      <c r="L24" s="144"/>
      <c r="N24" s="142"/>
      <c r="O24" s="163"/>
      <c r="P24" s="142"/>
      <c r="Q24" s="142"/>
      <c r="R24" s="142"/>
      <c r="S24" s="142"/>
      <c r="T24" s="142"/>
      <c r="U24" s="142"/>
      <c r="V24" s="142"/>
      <c r="W24" s="183"/>
      <c r="Z24" s="146"/>
      <c r="AA24" s="146"/>
      <c r="AB24" s="146"/>
      <c r="AC24" s="146"/>
      <c r="AD24" s="147"/>
      <c r="AE24" s="147"/>
      <c r="AF24" s="147"/>
      <c r="AG24" s="147"/>
      <c r="AH24" s="147"/>
      <c r="AI24" s="147"/>
      <c r="AJ24" s="147"/>
      <c r="AK24" s="147"/>
      <c r="AL24" s="147"/>
    </row>
    <row r="25" spans="1:53" s="145" customFormat="1" x14ac:dyDescent="0.25">
      <c r="A25" s="125" t="s">
        <v>164</v>
      </c>
      <c r="B25" s="41">
        <v>7</v>
      </c>
      <c r="C25" s="37">
        <f>Blad1!F8</f>
        <v>161.39999999999998</v>
      </c>
      <c r="D25" s="40" t="s">
        <v>132</v>
      </c>
      <c r="E25" s="51">
        <f>Blad1!H8</f>
        <v>1.0491945477075588</v>
      </c>
      <c r="F25" s="132">
        <f t="shared" si="7"/>
        <v>169.33999999999997</v>
      </c>
      <c r="G25" s="137">
        <f t="shared" si="0"/>
        <v>105.18012422360246</v>
      </c>
      <c r="H25" s="132">
        <f t="shared" si="1"/>
        <v>50801.999999999993</v>
      </c>
      <c r="I25" s="143"/>
      <c r="J25" s="143"/>
      <c r="K25" s="143"/>
      <c r="L25" s="144"/>
      <c r="N25" s="142"/>
      <c r="O25" s="163"/>
      <c r="P25" s="142"/>
      <c r="Q25" s="142"/>
      <c r="R25" s="142"/>
      <c r="S25" s="142"/>
      <c r="T25" s="142"/>
      <c r="U25" s="142"/>
      <c r="V25" s="142"/>
      <c r="W25" s="142"/>
      <c r="Z25" s="146"/>
      <c r="AA25" s="146"/>
      <c r="AB25" s="146"/>
      <c r="AC25" s="146"/>
      <c r="AD25" s="147"/>
      <c r="AE25" s="147"/>
      <c r="AF25" s="147"/>
      <c r="AG25" s="147"/>
      <c r="AH25" s="147"/>
      <c r="AI25" s="147"/>
      <c r="AJ25" s="147"/>
      <c r="AK25" s="147"/>
      <c r="AL25" s="147"/>
    </row>
    <row r="26" spans="1:53" s="145" customFormat="1" x14ac:dyDescent="0.25">
      <c r="A26" s="125" t="s">
        <v>165</v>
      </c>
      <c r="B26" s="41">
        <v>8</v>
      </c>
      <c r="C26" s="37">
        <v>40</v>
      </c>
      <c r="D26" s="40" t="s">
        <v>132</v>
      </c>
      <c r="E26" s="51">
        <v>1</v>
      </c>
      <c r="F26" s="132">
        <f t="shared" ref="F26" si="11">C26*E26</f>
        <v>40</v>
      </c>
      <c r="G26" s="137">
        <f t="shared" ref="G26" si="12">F26/$B$5</f>
        <v>24.844720496894407</v>
      </c>
      <c r="H26" s="132">
        <f t="shared" ref="H26" si="13">F26*$B$4</f>
        <v>12000</v>
      </c>
      <c r="I26" s="143"/>
      <c r="J26" s="143"/>
      <c r="K26" s="143"/>
      <c r="L26" s="144"/>
      <c r="N26" s="142"/>
      <c r="O26" s="163"/>
      <c r="P26" s="142"/>
      <c r="Q26" s="142"/>
      <c r="R26" s="142"/>
      <c r="S26" s="142"/>
      <c r="T26" s="142"/>
      <c r="U26" s="142"/>
      <c r="V26" s="142"/>
      <c r="W26" s="142"/>
      <c r="Z26" s="146"/>
      <c r="AA26" s="146"/>
      <c r="AB26" s="146"/>
      <c r="AC26" s="146"/>
      <c r="AD26" s="147"/>
      <c r="AE26" s="147"/>
      <c r="AF26" s="147"/>
      <c r="AG26" s="147"/>
      <c r="AH26" s="147"/>
      <c r="AI26" s="147"/>
      <c r="AJ26" s="147"/>
      <c r="AK26" s="147"/>
      <c r="AL26" s="147"/>
    </row>
    <row r="27" spans="1:53" s="145" customFormat="1" x14ac:dyDescent="0.25">
      <c r="A27" s="125" t="s">
        <v>101</v>
      </c>
      <c r="B27" s="41">
        <v>9</v>
      </c>
      <c r="C27" s="37">
        <v>1</v>
      </c>
      <c r="D27" s="40" t="s">
        <v>48</v>
      </c>
      <c r="E27" s="51">
        <v>155</v>
      </c>
      <c r="F27" s="132">
        <f t="shared" si="7"/>
        <v>155</v>
      </c>
      <c r="G27" s="137">
        <f t="shared" si="0"/>
        <v>96.273291925465827</v>
      </c>
      <c r="H27" s="132">
        <f t="shared" si="1"/>
        <v>46500</v>
      </c>
      <c r="I27" s="143"/>
      <c r="J27" s="143"/>
      <c r="K27" s="143"/>
      <c r="L27" s="144"/>
      <c r="N27" s="142"/>
      <c r="O27" s="163"/>
      <c r="P27" s="142"/>
      <c r="Q27" s="142"/>
      <c r="R27" s="142"/>
      <c r="S27" s="142"/>
      <c r="T27" s="142"/>
      <c r="U27" s="142"/>
      <c r="V27" s="142"/>
      <c r="W27" s="142"/>
      <c r="Z27" s="146"/>
      <c r="AA27" s="146"/>
      <c r="AB27" s="146"/>
      <c r="AC27" s="146"/>
      <c r="AD27" s="147"/>
      <c r="AE27" s="147"/>
      <c r="AF27" s="147"/>
      <c r="AG27" s="147"/>
      <c r="AH27" s="147"/>
      <c r="AI27" s="147"/>
      <c r="AJ27" s="147"/>
      <c r="AK27" s="147"/>
      <c r="AL27" s="147"/>
    </row>
    <row r="28" spans="1:53" s="145" customFormat="1" ht="15" customHeight="1" x14ac:dyDescent="0.25">
      <c r="A28" s="125" t="s">
        <v>106</v>
      </c>
      <c r="B28" s="41">
        <v>10</v>
      </c>
      <c r="C28" s="37">
        <v>1</v>
      </c>
      <c r="D28" s="40" t="s">
        <v>48</v>
      </c>
      <c r="E28" s="51">
        <v>240</v>
      </c>
      <c r="F28" s="132">
        <f t="shared" si="7"/>
        <v>240</v>
      </c>
      <c r="G28" s="137">
        <f t="shared" si="0"/>
        <v>149.06832298136646</v>
      </c>
      <c r="H28" s="132">
        <f t="shared" si="1"/>
        <v>72000</v>
      </c>
      <c r="I28" s="143"/>
      <c r="J28" s="143"/>
      <c r="K28" s="143"/>
      <c r="L28" s="144"/>
      <c r="N28" s="142"/>
      <c r="O28" s="163"/>
      <c r="P28" s="142"/>
      <c r="Q28" s="142"/>
      <c r="R28" s="142"/>
      <c r="S28" s="142"/>
      <c r="T28" s="142"/>
      <c r="U28" s="142"/>
      <c r="V28" s="142"/>
      <c r="W28" s="142"/>
      <c r="Z28" s="146"/>
      <c r="AA28" s="146"/>
      <c r="AB28" s="146"/>
      <c r="AC28" s="146"/>
      <c r="AD28" s="147"/>
      <c r="AE28" s="147"/>
      <c r="AF28" s="147"/>
      <c r="AG28" s="147"/>
      <c r="AH28" s="147"/>
      <c r="AI28" s="147"/>
      <c r="AJ28" s="147"/>
      <c r="AK28" s="147"/>
      <c r="AL28" s="147"/>
    </row>
    <row r="29" spans="1:53" s="145" customFormat="1" ht="15" customHeight="1" x14ac:dyDescent="0.25">
      <c r="A29" s="63" t="s">
        <v>159</v>
      </c>
      <c r="B29" s="41">
        <v>11</v>
      </c>
      <c r="C29" s="37">
        <v>1</v>
      </c>
      <c r="D29" s="40" t="s">
        <v>48</v>
      </c>
      <c r="E29" s="51">
        <v>300</v>
      </c>
      <c r="F29" s="132">
        <f t="shared" si="7"/>
        <v>300</v>
      </c>
      <c r="G29" s="137">
        <f t="shared" si="0"/>
        <v>186.33540372670805</v>
      </c>
      <c r="H29" s="132">
        <f t="shared" si="1"/>
        <v>90000</v>
      </c>
      <c r="I29" s="143"/>
      <c r="J29" s="143"/>
      <c r="K29" s="143"/>
      <c r="L29" s="144"/>
      <c r="N29" s="142"/>
      <c r="O29" s="163"/>
      <c r="P29" s="142"/>
      <c r="Q29" s="142"/>
      <c r="R29" s="142"/>
      <c r="S29" s="142"/>
      <c r="T29" s="142"/>
      <c r="U29" s="142"/>
      <c r="V29" s="142"/>
      <c r="W29" s="142"/>
      <c r="Z29" s="146"/>
      <c r="AA29" s="146"/>
      <c r="AB29" s="146"/>
      <c r="AC29" s="146"/>
      <c r="AD29" s="147"/>
      <c r="AE29" s="147"/>
      <c r="AF29" s="147"/>
      <c r="AG29" s="147"/>
      <c r="AH29" s="147"/>
      <c r="AI29" s="147"/>
      <c r="AJ29" s="147"/>
      <c r="AK29" s="147"/>
      <c r="AL29" s="147"/>
    </row>
    <row r="30" spans="1:53" s="145" customFormat="1" x14ac:dyDescent="0.25">
      <c r="A30" s="125" t="s">
        <v>100</v>
      </c>
      <c r="B30" s="41">
        <v>12</v>
      </c>
      <c r="C30" s="37">
        <v>0.8</v>
      </c>
      <c r="D30" s="40" t="s">
        <v>133</v>
      </c>
      <c r="E30" s="51">
        <v>20</v>
      </c>
      <c r="F30" s="132">
        <f t="shared" si="7"/>
        <v>16</v>
      </c>
      <c r="G30" s="137">
        <f t="shared" si="0"/>
        <v>9.9378881987577632</v>
      </c>
      <c r="H30" s="132">
        <f t="shared" si="1"/>
        <v>4800</v>
      </c>
      <c r="I30" s="143"/>
      <c r="J30" s="143"/>
      <c r="K30" s="143"/>
      <c r="L30" s="144"/>
      <c r="N30" s="142"/>
      <c r="O30" s="163"/>
      <c r="P30" s="142"/>
      <c r="Q30" s="142"/>
      <c r="R30" s="142"/>
      <c r="S30" s="142"/>
      <c r="T30" s="142"/>
      <c r="U30" s="142"/>
      <c r="V30" s="142"/>
      <c r="W30" s="142"/>
      <c r="Z30" s="146"/>
      <c r="AA30" s="146"/>
      <c r="AB30" s="146"/>
      <c r="AC30" s="146"/>
      <c r="AD30" s="147"/>
      <c r="AE30" s="147"/>
      <c r="AF30" s="147"/>
      <c r="AG30" s="147"/>
      <c r="AH30" s="147"/>
      <c r="AI30" s="147"/>
      <c r="AJ30" s="147"/>
      <c r="AK30" s="147"/>
      <c r="AL30" s="147"/>
      <c r="BA30" s="142"/>
    </row>
    <row r="31" spans="1:53" s="145" customFormat="1" x14ac:dyDescent="0.25">
      <c r="A31" s="63" t="s">
        <v>213</v>
      </c>
      <c r="B31" s="41">
        <v>13</v>
      </c>
      <c r="C31" s="37">
        <v>213</v>
      </c>
      <c r="D31" s="40" t="s">
        <v>53</v>
      </c>
      <c r="E31" s="51">
        <v>1</v>
      </c>
      <c r="F31" s="132">
        <f t="shared" ref="F31" si="14">C31*E31</f>
        <v>213</v>
      </c>
      <c r="G31" s="137">
        <f t="shared" ref="G31" si="15">F31/$B$5</f>
        <v>132.29813664596273</v>
      </c>
      <c r="H31" s="132">
        <f t="shared" ref="H31" si="16">F31*$B$4</f>
        <v>63900</v>
      </c>
      <c r="I31" s="143"/>
      <c r="J31" s="143"/>
      <c r="K31" s="143"/>
      <c r="L31" s="144"/>
      <c r="N31" s="142"/>
      <c r="O31" s="163"/>
      <c r="P31" s="142"/>
      <c r="Q31" s="142"/>
      <c r="R31" s="142"/>
      <c r="S31" s="142"/>
      <c r="T31" s="142"/>
      <c r="U31" s="142"/>
      <c r="V31" s="142"/>
      <c r="W31" s="142"/>
      <c r="Z31" s="146"/>
      <c r="AA31" s="146"/>
      <c r="AB31" s="146"/>
      <c r="AC31" s="146"/>
      <c r="AD31" s="147"/>
      <c r="AE31" s="147"/>
      <c r="AF31" s="147"/>
      <c r="AG31" s="147"/>
      <c r="AH31" s="147"/>
      <c r="AI31" s="147"/>
      <c r="AJ31" s="147"/>
      <c r="AK31" s="147"/>
      <c r="AL31" s="147"/>
      <c r="BA31" s="142"/>
    </row>
    <row r="32" spans="1:53" s="145" customFormat="1" x14ac:dyDescent="0.25">
      <c r="A32" s="164" t="s">
        <v>86</v>
      </c>
      <c r="B32" s="165"/>
      <c r="C32" s="166"/>
      <c r="D32" s="167"/>
      <c r="E32" s="168"/>
      <c r="F32" s="52">
        <f>SUM(F18:F31)</f>
        <v>4707.46</v>
      </c>
      <c r="G32" s="52">
        <f>SUM(G18:G31)</f>
        <v>2923.8881987577633</v>
      </c>
      <c r="H32" s="52">
        <f>SUM(H18:H31)</f>
        <v>1412238</v>
      </c>
      <c r="I32" s="143"/>
      <c r="J32" s="143"/>
      <c r="K32" s="143"/>
      <c r="L32" s="144"/>
      <c r="N32" s="142"/>
      <c r="O32" s="163"/>
      <c r="P32" s="142"/>
      <c r="Q32" s="142"/>
      <c r="R32" s="142"/>
      <c r="S32" s="142"/>
      <c r="T32" s="142"/>
      <c r="U32" s="142"/>
      <c r="V32" s="142"/>
      <c r="W32" s="142"/>
      <c r="Z32" s="146"/>
      <c r="AA32" s="146"/>
      <c r="AB32" s="146"/>
      <c r="AC32" s="146"/>
      <c r="AD32" s="147"/>
      <c r="AE32" s="147"/>
      <c r="AF32" s="147"/>
      <c r="AG32" s="147"/>
      <c r="AH32" s="147"/>
      <c r="AI32" s="147"/>
      <c r="AJ32" s="147"/>
      <c r="AK32" s="147"/>
      <c r="AL32" s="147"/>
      <c r="BA32" s="142"/>
    </row>
    <row r="33" spans="1:51" s="145" customFormat="1" x14ac:dyDescent="0.25">
      <c r="A33" s="169"/>
      <c r="B33" s="122"/>
      <c r="C33" s="170"/>
      <c r="D33" s="149"/>
      <c r="E33" s="171"/>
      <c r="F33" s="172"/>
      <c r="G33" s="198"/>
      <c r="H33" s="142"/>
      <c r="I33" s="126"/>
      <c r="J33" s="144"/>
      <c r="K33" s="142"/>
      <c r="L33" s="142"/>
      <c r="M33" s="163"/>
      <c r="N33" s="142"/>
      <c r="O33" s="142"/>
      <c r="P33" s="142"/>
      <c r="Q33" s="142"/>
      <c r="R33" s="142"/>
      <c r="S33" s="142"/>
      <c r="T33" s="142"/>
      <c r="U33" s="142"/>
      <c r="X33" s="146"/>
      <c r="Y33" s="146"/>
      <c r="Z33" s="146"/>
      <c r="AA33" s="146"/>
      <c r="AB33" s="147"/>
      <c r="AC33" s="147"/>
      <c r="AD33" s="147"/>
      <c r="AE33" s="147"/>
      <c r="AF33" s="147"/>
      <c r="AG33" s="147"/>
      <c r="AH33" s="147"/>
      <c r="AI33" s="147"/>
      <c r="AJ33" s="147"/>
      <c r="AY33" s="142"/>
    </row>
    <row r="34" spans="1:51" s="145" customFormat="1" ht="27.6" x14ac:dyDescent="0.25">
      <c r="A34" s="159" t="s">
        <v>99</v>
      </c>
      <c r="B34" s="160" t="s">
        <v>6</v>
      </c>
      <c r="C34" s="161" t="s">
        <v>121</v>
      </c>
      <c r="D34" s="161" t="s">
        <v>34</v>
      </c>
      <c r="E34" s="161" t="s">
        <v>64</v>
      </c>
      <c r="F34" s="161" t="s">
        <v>122</v>
      </c>
      <c r="G34" s="162" t="s">
        <v>123</v>
      </c>
      <c r="H34" s="162" t="s">
        <v>85</v>
      </c>
      <c r="I34" s="126"/>
      <c r="J34" s="144"/>
      <c r="K34" s="142"/>
      <c r="L34" s="142"/>
      <c r="M34" s="163"/>
      <c r="N34" s="142"/>
      <c r="O34" s="142"/>
      <c r="P34" s="142"/>
      <c r="Q34" s="142"/>
      <c r="R34" s="142"/>
      <c r="S34" s="142"/>
      <c r="T34" s="142"/>
      <c r="U34" s="142"/>
      <c r="X34" s="146"/>
      <c r="Y34" s="146"/>
      <c r="Z34" s="146"/>
      <c r="AA34" s="146"/>
      <c r="AB34" s="147"/>
      <c r="AC34" s="147"/>
      <c r="AD34" s="147"/>
      <c r="AE34" s="147"/>
      <c r="AF34" s="147"/>
      <c r="AG34" s="147"/>
      <c r="AH34" s="147"/>
      <c r="AI34" s="147"/>
      <c r="AJ34" s="147"/>
      <c r="AY34" s="142"/>
    </row>
    <row r="35" spans="1:51" s="145" customFormat="1" x14ac:dyDescent="0.25">
      <c r="A35" s="63" t="s">
        <v>125</v>
      </c>
      <c r="B35" s="41">
        <v>3</v>
      </c>
      <c r="C35" s="38">
        <v>0.2</v>
      </c>
      <c r="D35" s="36" t="s">
        <v>49</v>
      </c>
      <c r="E35" s="51">
        <v>2500</v>
      </c>
      <c r="F35" s="132"/>
      <c r="G35" s="137"/>
      <c r="H35" s="132"/>
      <c r="I35" s="163"/>
      <c r="J35" s="144"/>
      <c r="K35" s="142"/>
      <c r="L35" s="142"/>
      <c r="M35" s="163"/>
      <c r="N35" s="142"/>
      <c r="O35" s="142"/>
      <c r="P35" s="142"/>
      <c r="Q35" s="142"/>
      <c r="R35" s="142"/>
      <c r="S35" s="142"/>
      <c r="T35" s="142"/>
      <c r="U35" s="142"/>
      <c r="X35" s="146"/>
      <c r="Y35" s="146"/>
      <c r="Z35" s="146"/>
      <c r="AA35" s="146"/>
      <c r="AB35" s="147"/>
      <c r="AC35" s="147"/>
      <c r="AD35" s="147"/>
      <c r="AE35" s="147"/>
      <c r="AF35" s="147"/>
      <c r="AG35" s="147"/>
      <c r="AH35" s="147"/>
      <c r="AI35" s="147"/>
      <c r="AJ35" s="147"/>
    </row>
    <row r="36" spans="1:51" s="145" customFormat="1" x14ac:dyDescent="0.25">
      <c r="A36" s="63" t="s">
        <v>102</v>
      </c>
      <c r="B36" s="41">
        <v>14</v>
      </c>
      <c r="C36" s="39">
        <v>300</v>
      </c>
      <c r="D36" s="36" t="s">
        <v>161</v>
      </c>
      <c r="E36" s="51">
        <v>1.35</v>
      </c>
      <c r="F36" s="132">
        <f t="shared" ref="F36:F52" si="17">C36*E36</f>
        <v>405</v>
      </c>
      <c r="G36" s="137">
        <f t="shared" ref="G36:G68" si="18">F36/$B$5</f>
        <v>251.55279503105589</v>
      </c>
      <c r="H36" s="132">
        <f t="shared" ref="H36:H58" si="19">F36*$B$4</f>
        <v>121500</v>
      </c>
      <c r="I36" s="163"/>
      <c r="J36" s="144"/>
      <c r="K36" s="142"/>
      <c r="L36" s="142"/>
      <c r="M36" s="163"/>
      <c r="N36" s="142"/>
      <c r="O36" s="142"/>
      <c r="P36" s="142"/>
      <c r="Q36" s="142"/>
      <c r="R36" s="142"/>
      <c r="S36" s="142"/>
      <c r="T36" s="142"/>
      <c r="U36" s="142"/>
      <c r="X36" s="146"/>
      <c r="Y36" s="146"/>
      <c r="Z36" s="146"/>
      <c r="AA36" s="146"/>
      <c r="AB36" s="147"/>
      <c r="AC36" s="147"/>
      <c r="AD36" s="147"/>
      <c r="AE36" s="147"/>
      <c r="AF36" s="147"/>
      <c r="AG36" s="147"/>
      <c r="AH36" s="147"/>
      <c r="AI36" s="147"/>
      <c r="AJ36" s="147"/>
    </row>
    <row r="37" spans="1:51" s="145" customFormat="1" x14ac:dyDescent="0.25">
      <c r="A37" s="63" t="s">
        <v>160</v>
      </c>
      <c r="B37" s="41">
        <v>15</v>
      </c>
      <c r="C37" s="39">
        <v>260</v>
      </c>
      <c r="D37" s="36" t="s">
        <v>161</v>
      </c>
      <c r="E37" s="51">
        <v>0.65</v>
      </c>
      <c r="F37" s="132">
        <f t="shared" ref="F37" si="20">C37*E37</f>
        <v>169</v>
      </c>
      <c r="G37" s="137">
        <f t="shared" ref="G37" si="21">F37/$B$5</f>
        <v>104.96894409937887</v>
      </c>
      <c r="H37" s="132">
        <f t="shared" ref="H37" si="22">F37*$B$4</f>
        <v>50700</v>
      </c>
      <c r="I37" s="163"/>
      <c r="J37" s="144"/>
      <c r="K37" s="142"/>
      <c r="L37" s="142"/>
      <c r="M37" s="163"/>
      <c r="N37" s="142"/>
      <c r="O37" s="142"/>
      <c r="P37" s="142"/>
      <c r="Q37" s="142"/>
      <c r="R37" s="142"/>
      <c r="S37" s="142"/>
      <c r="T37" s="142"/>
      <c r="U37" s="142"/>
      <c r="X37" s="146"/>
      <c r="Y37" s="146"/>
      <c r="Z37" s="146"/>
      <c r="AA37" s="146"/>
      <c r="AB37" s="147"/>
      <c r="AC37" s="147"/>
      <c r="AD37" s="147"/>
      <c r="AE37" s="147"/>
      <c r="AF37" s="147"/>
      <c r="AG37" s="147"/>
      <c r="AH37" s="147"/>
      <c r="AI37" s="147"/>
      <c r="AJ37" s="147"/>
    </row>
    <row r="38" spans="1:51" s="145" customFormat="1" x14ac:dyDescent="0.25">
      <c r="A38" s="63" t="s">
        <v>216</v>
      </c>
      <c r="B38" s="41" t="s">
        <v>170</v>
      </c>
      <c r="C38" s="39">
        <f>C25+C26</f>
        <v>201.39999999999998</v>
      </c>
      <c r="D38" s="36" t="s">
        <v>132</v>
      </c>
      <c r="E38" s="51">
        <v>0</v>
      </c>
      <c r="F38" s="132">
        <f t="shared" si="17"/>
        <v>0</v>
      </c>
      <c r="G38" s="137">
        <f t="shared" si="18"/>
        <v>0</v>
      </c>
      <c r="H38" s="132">
        <f t="shared" si="19"/>
        <v>0</v>
      </c>
      <c r="I38" s="163"/>
      <c r="J38" s="144"/>
      <c r="K38" s="142"/>
      <c r="L38" s="142"/>
      <c r="M38" s="163"/>
      <c r="N38" s="142"/>
      <c r="O38" s="142"/>
      <c r="P38" s="142"/>
      <c r="Q38" s="142"/>
      <c r="R38" s="142"/>
      <c r="S38" s="142"/>
      <c r="T38" s="142"/>
      <c r="U38" s="142"/>
      <c r="X38" s="146"/>
      <c r="Y38" s="146"/>
      <c r="Z38" s="146"/>
      <c r="AA38" s="146"/>
      <c r="AB38" s="147"/>
      <c r="AC38" s="147"/>
      <c r="AD38" s="147"/>
      <c r="AE38" s="147"/>
      <c r="AF38" s="147"/>
      <c r="AG38" s="147"/>
      <c r="AH38" s="147"/>
      <c r="AI38" s="147"/>
      <c r="AJ38" s="147"/>
    </row>
    <row r="39" spans="1:51" s="145" customFormat="1" x14ac:dyDescent="0.25">
      <c r="A39" s="63" t="s">
        <v>135</v>
      </c>
      <c r="B39" s="41">
        <v>16</v>
      </c>
      <c r="C39" s="39">
        <v>50</v>
      </c>
      <c r="D39" s="36" t="s">
        <v>50</v>
      </c>
      <c r="E39" s="51">
        <v>2.75</v>
      </c>
      <c r="F39" s="132">
        <f t="shared" ref="F39" si="23">C39*E39</f>
        <v>137.5</v>
      </c>
      <c r="G39" s="137">
        <f t="shared" ref="G39" si="24">F39/$B$5</f>
        <v>85.403726708074529</v>
      </c>
      <c r="H39" s="132">
        <f t="shared" ref="H39" si="25">F39*$B$4</f>
        <v>41250</v>
      </c>
      <c r="I39" s="163"/>
      <c r="J39" s="144"/>
      <c r="K39" s="142"/>
      <c r="L39" s="142"/>
      <c r="M39" s="163"/>
      <c r="N39" s="142"/>
      <c r="O39" s="142"/>
      <c r="P39" s="142"/>
      <c r="Q39" s="142"/>
      <c r="R39" s="142"/>
      <c r="S39" s="142"/>
      <c r="T39" s="142"/>
      <c r="U39" s="142"/>
      <c r="X39" s="146"/>
      <c r="Y39" s="146"/>
      <c r="Z39" s="146"/>
      <c r="AA39" s="146"/>
      <c r="AB39" s="147"/>
      <c r="AC39" s="147"/>
      <c r="AD39" s="147"/>
      <c r="AE39" s="147"/>
      <c r="AF39" s="147"/>
      <c r="AG39" s="147"/>
      <c r="AH39" s="147"/>
      <c r="AI39" s="147"/>
      <c r="AJ39" s="147"/>
    </row>
    <row r="40" spans="1:51" s="145" customFormat="1" x14ac:dyDescent="0.25">
      <c r="A40" s="63"/>
      <c r="B40" s="41"/>
      <c r="C40" s="39"/>
      <c r="D40" s="36"/>
      <c r="E40" s="51"/>
      <c r="F40" s="132"/>
      <c r="G40" s="137"/>
      <c r="H40" s="132"/>
      <c r="I40" s="163"/>
      <c r="J40" s="144"/>
      <c r="K40" s="142"/>
      <c r="L40" s="142"/>
      <c r="M40" s="163"/>
      <c r="N40" s="142"/>
      <c r="O40" s="142"/>
      <c r="P40" s="142"/>
      <c r="Q40" s="142"/>
      <c r="R40" s="142"/>
      <c r="S40" s="142"/>
      <c r="T40" s="142"/>
      <c r="U40" s="142"/>
      <c r="X40" s="146"/>
      <c r="Y40" s="146"/>
      <c r="Z40" s="146"/>
      <c r="AA40" s="146"/>
      <c r="AB40" s="147"/>
      <c r="AC40" s="147"/>
      <c r="AD40" s="147"/>
      <c r="AE40" s="147"/>
      <c r="AF40" s="147"/>
      <c r="AG40" s="147"/>
      <c r="AH40" s="147"/>
      <c r="AI40" s="147"/>
      <c r="AJ40" s="147"/>
    </row>
    <row r="41" spans="1:51" s="145" customFormat="1" x14ac:dyDescent="0.25">
      <c r="A41" s="63" t="s">
        <v>104</v>
      </c>
      <c r="B41" s="41">
        <v>17</v>
      </c>
      <c r="C41" s="39">
        <v>4</v>
      </c>
      <c r="D41" s="36" t="s">
        <v>50</v>
      </c>
      <c r="E41" s="51">
        <v>8</v>
      </c>
      <c r="F41" s="132">
        <f t="shared" si="17"/>
        <v>32</v>
      </c>
      <c r="G41" s="137">
        <f t="shared" si="18"/>
        <v>19.875776397515526</v>
      </c>
      <c r="H41" s="132">
        <f t="shared" si="19"/>
        <v>9600</v>
      </c>
      <c r="I41" s="163"/>
      <c r="J41" s="144"/>
      <c r="K41" s="142"/>
      <c r="L41" s="142"/>
      <c r="M41" s="163"/>
      <c r="N41" s="142"/>
      <c r="O41" s="142"/>
      <c r="P41" s="142"/>
      <c r="Q41" s="142"/>
      <c r="R41" s="142"/>
      <c r="S41" s="142"/>
      <c r="T41" s="142"/>
      <c r="U41" s="142"/>
      <c r="X41" s="146"/>
      <c r="Y41" s="146"/>
      <c r="Z41" s="146"/>
      <c r="AA41" s="146"/>
      <c r="AB41" s="147"/>
      <c r="AC41" s="147"/>
      <c r="AD41" s="147"/>
      <c r="AE41" s="147"/>
      <c r="AF41" s="147"/>
      <c r="AG41" s="147"/>
      <c r="AH41" s="147"/>
      <c r="AI41" s="147"/>
      <c r="AJ41" s="147"/>
    </row>
    <row r="42" spans="1:51" s="145" customFormat="1" x14ac:dyDescent="0.25">
      <c r="A42" s="63" t="s">
        <v>51</v>
      </c>
      <c r="B42" s="41">
        <v>18</v>
      </c>
      <c r="C42" s="39">
        <v>60</v>
      </c>
      <c r="D42" s="36" t="s">
        <v>50</v>
      </c>
      <c r="E42" s="51">
        <v>1.2</v>
      </c>
      <c r="F42" s="132">
        <f t="shared" si="17"/>
        <v>72</v>
      </c>
      <c r="G42" s="137">
        <f t="shared" si="18"/>
        <v>44.720496894409933</v>
      </c>
      <c r="H42" s="132">
        <f t="shared" si="19"/>
        <v>21600</v>
      </c>
      <c r="I42" s="163"/>
      <c r="J42" s="144"/>
      <c r="K42" s="142"/>
      <c r="L42" s="142"/>
      <c r="M42" s="163"/>
      <c r="N42" s="142"/>
      <c r="O42" s="142"/>
      <c r="P42" s="142"/>
      <c r="Q42" s="142"/>
      <c r="R42" s="142"/>
      <c r="S42" s="142"/>
      <c r="T42" s="142"/>
      <c r="U42" s="142"/>
      <c r="X42" s="146"/>
      <c r="Y42" s="146"/>
      <c r="Z42" s="146"/>
      <c r="AA42" s="146"/>
      <c r="AB42" s="147"/>
      <c r="AC42" s="147"/>
      <c r="AD42" s="147"/>
      <c r="AE42" s="147"/>
      <c r="AF42" s="147"/>
      <c r="AG42" s="147"/>
      <c r="AH42" s="147"/>
      <c r="AI42" s="147"/>
      <c r="AJ42" s="147"/>
    </row>
    <row r="43" spans="1:51" s="145" customFormat="1" x14ac:dyDescent="0.25">
      <c r="A43" s="63" t="s">
        <v>127</v>
      </c>
      <c r="B43" s="41">
        <v>19</v>
      </c>
      <c r="C43" s="39">
        <v>1</v>
      </c>
      <c r="D43" s="36" t="s">
        <v>49</v>
      </c>
      <c r="E43" s="51">
        <v>150</v>
      </c>
      <c r="F43" s="132">
        <f t="shared" si="17"/>
        <v>150</v>
      </c>
      <c r="G43" s="137">
        <f t="shared" si="18"/>
        <v>93.167701863354026</v>
      </c>
      <c r="H43" s="132">
        <f t="shared" si="19"/>
        <v>45000</v>
      </c>
      <c r="I43" s="163"/>
      <c r="J43" s="144"/>
      <c r="K43" s="142"/>
      <c r="L43" s="142"/>
      <c r="M43" s="163"/>
      <c r="N43" s="142"/>
      <c r="O43" s="142"/>
      <c r="P43" s="142"/>
      <c r="Q43" s="142"/>
      <c r="R43" s="142"/>
      <c r="S43" s="142"/>
      <c r="T43" s="142"/>
      <c r="U43" s="142"/>
      <c r="X43" s="146"/>
      <c r="Y43" s="146"/>
      <c r="Z43" s="146"/>
      <c r="AA43" s="146"/>
      <c r="AB43" s="147"/>
      <c r="AC43" s="147"/>
      <c r="AD43" s="147"/>
      <c r="AE43" s="147"/>
      <c r="AF43" s="147"/>
      <c r="AG43" s="147"/>
      <c r="AH43" s="147"/>
      <c r="AI43" s="147"/>
      <c r="AJ43" s="147"/>
    </row>
    <row r="44" spans="1:51" s="145" customFormat="1" x14ac:dyDescent="0.25">
      <c r="A44" s="63" t="s">
        <v>52</v>
      </c>
      <c r="B44" s="41">
        <v>20</v>
      </c>
      <c r="C44" s="39">
        <v>30</v>
      </c>
      <c r="D44" s="36" t="s">
        <v>53</v>
      </c>
      <c r="E44" s="51">
        <v>0.6</v>
      </c>
      <c r="F44" s="132">
        <f t="shared" si="17"/>
        <v>18</v>
      </c>
      <c r="G44" s="137">
        <f t="shared" si="18"/>
        <v>11.180124223602483</v>
      </c>
      <c r="H44" s="132">
        <f t="shared" si="19"/>
        <v>5400</v>
      </c>
      <c r="I44" s="163"/>
      <c r="J44" s="144"/>
      <c r="K44" s="142"/>
      <c r="L44" s="142"/>
      <c r="M44" s="163"/>
      <c r="N44" s="142"/>
      <c r="O44" s="142"/>
      <c r="P44" s="142"/>
      <c r="Q44" s="142"/>
      <c r="R44" s="142"/>
      <c r="S44" s="142"/>
      <c r="T44" s="142"/>
      <c r="U44" s="142"/>
      <c r="X44" s="146"/>
      <c r="Y44" s="146"/>
      <c r="Z44" s="146"/>
      <c r="AA44" s="146"/>
      <c r="AB44" s="147"/>
      <c r="AC44" s="147"/>
      <c r="AD44" s="147"/>
      <c r="AE44" s="147"/>
      <c r="AF44" s="147"/>
      <c r="AG44" s="147"/>
      <c r="AH44" s="147"/>
      <c r="AI44" s="147"/>
      <c r="AJ44" s="147"/>
    </row>
    <row r="45" spans="1:51" s="145" customFormat="1" x14ac:dyDescent="0.25">
      <c r="A45" s="63" t="s">
        <v>203</v>
      </c>
      <c r="B45" s="41">
        <v>21</v>
      </c>
      <c r="C45" s="39">
        <v>5</v>
      </c>
      <c r="D45" s="36" t="s">
        <v>194</v>
      </c>
      <c r="E45" s="51">
        <v>8</v>
      </c>
      <c r="F45" s="132">
        <f t="shared" si="17"/>
        <v>40</v>
      </c>
      <c r="G45" s="137">
        <f t="shared" si="18"/>
        <v>24.844720496894407</v>
      </c>
      <c r="H45" s="132">
        <f t="shared" si="19"/>
        <v>12000</v>
      </c>
      <c r="I45" s="163"/>
      <c r="J45" s="144"/>
      <c r="K45" s="142"/>
      <c r="L45" s="142"/>
      <c r="M45" s="163"/>
      <c r="N45" s="142"/>
      <c r="O45" s="142"/>
      <c r="P45" s="142"/>
      <c r="Q45" s="142"/>
      <c r="R45" s="142"/>
      <c r="S45" s="142"/>
      <c r="T45" s="142"/>
      <c r="U45" s="142"/>
      <c r="X45" s="146"/>
      <c r="Y45" s="146"/>
      <c r="Z45" s="146"/>
      <c r="AA45" s="146"/>
      <c r="AB45" s="147"/>
      <c r="AC45" s="147"/>
      <c r="AD45" s="147"/>
      <c r="AE45" s="147"/>
      <c r="AF45" s="147"/>
      <c r="AG45" s="147"/>
      <c r="AH45" s="147"/>
      <c r="AI45" s="147"/>
      <c r="AJ45" s="147"/>
    </row>
    <row r="46" spans="1:51" s="145" customFormat="1" x14ac:dyDescent="0.25">
      <c r="A46" s="63" t="s">
        <v>204</v>
      </c>
      <c r="B46" s="41">
        <v>22</v>
      </c>
      <c r="C46" s="39">
        <v>1</v>
      </c>
      <c r="D46" s="36" t="s">
        <v>48</v>
      </c>
      <c r="E46" s="51">
        <v>40</v>
      </c>
      <c r="F46" s="132">
        <f t="shared" si="17"/>
        <v>40</v>
      </c>
      <c r="G46" s="137">
        <f t="shared" si="18"/>
        <v>24.844720496894407</v>
      </c>
      <c r="H46" s="132">
        <f t="shared" si="19"/>
        <v>12000</v>
      </c>
      <c r="I46" s="163"/>
      <c r="J46" s="144"/>
      <c r="K46" s="142"/>
      <c r="L46" s="142"/>
      <c r="M46" s="163"/>
      <c r="N46" s="142"/>
      <c r="O46" s="142"/>
      <c r="P46" s="142"/>
      <c r="Q46" s="142"/>
      <c r="R46" s="142"/>
      <c r="S46" s="142"/>
      <c r="T46" s="142"/>
      <c r="U46" s="142"/>
      <c r="X46" s="146"/>
      <c r="Y46" s="146"/>
      <c r="Z46" s="146"/>
      <c r="AA46" s="146"/>
      <c r="AB46" s="147"/>
      <c r="AC46" s="147"/>
      <c r="AD46" s="147"/>
      <c r="AE46" s="147"/>
      <c r="AF46" s="147"/>
      <c r="AG46" s="147"/>
      <c r="AH46" s="147"/>
      <c r="AI46" s="147"/>
      <c r="AJ46" s="147"/>
    </row>
    <row r="47" spans="1:51" s="145" customFormat="1" x14ac:dyDescent="0.25">
      <c r="A47" s="63" t="s">
        <v>107</v>
      </c>
      <c r="B47" s="41">
        <v>23</v>
      </c>
      <c r="C47" s="39">
        <v>1</v>
      </c>
      <c r="D47" s="36" t="s">
        <v>48</v>
      </c>
      <c r="E47" s="51">
        <v>35</v>
      </c>
      <c r="F47" s="132">
        <f t="shared" si="17"/>
        <v>35</v>
      </c>
      <c r="G47" s="137">
        <f t="shared" si="18"/>
        <v>21.739130434782606</v>
      </c>
      <c r="H47" s="132">
        <f t="shared" si="19"/>
        <v>10500</v>
      </c>
      <c r="I47" s="163"/>
      <c r="J47" s="144"/>
      <c r="K47" s="142"/>
      <c r="L47" s="142"/>
      <c r="M47" s="163"/>
      <c r="N47" s="142"/>
      <c r="O47" s="142"/>
      <c r="P47" s="142"/>
      <c r="Q47" s="142"/>
      <c r="R47" s="142"/>
      <c r="S47" s="142"/>
      <c r="T47" s="142"/>
      <c r="U47" s="142"/>
      <c r="X47" s="146"/>
      <c r="Y47" s="146"/>
      <c r="Z47" s="146"/>
      <c r="AA47" s="146"/>
      <c r="AB47" s="147"/>
      <c r="AC47" s="147"/>
      <c r="AD47" s="147"/>
      <c r="AE47" s="147"/>
      <c r="AF47" s="147"/>
      <c r="AG47" s="147"/>
      <c r="AH47" s="147"/>
      <c r="AI47" s="147"/>
      <c r="AJ47" s="147"/>
    </row>
    <row r="48" spans="1:51" s="145" customFormat="1" x14ac:dyDescent="0.25">
      <c r="A48" s="63" t="s">
        <v>166</v>
      </c>
      <c r="B48" s="41">
        <v>24</v>
      </c>
      <c r="C48" s="38">
        <v>0.36</v>
      </c>
      <c r="D48" s="36" t="s">
        <v>48</v>
      </c>
      <c r="E48" s="51">
        <v>200</v>
      </c>
      <c r="F48" s="132">
        <f t="shared" si="17"/>
        <v>72</v>
      </c>
      <c r="G48" s="137">
        <f t="shared" si="18"/>
        <v>44.720496894409933</v>
      </c>
      <c r="H48" s="132">
        <f t="shared" si="19"/>
        <v>21600</v>
      </c>
      <c r="I48" s="163"/>
      <c r="J48" s="144"/>
      <c r="K48" s="142"/>
      <c r="L48" s="142"/>
      <c r="M48" s="163"/>
      <c r="N48" s="142"/>
      <c r="O48" s="142"/>
      <c r="P48" s="142"/>
      <c r="Q48" s="142"/>
      <c r="R48" s="142"/>
      <c r="S48" s="142"/>
      <c r="T48" s="142"/>
      <c r="U48" s="142"/>
      <c r="X48" s="146"/>
      <c r="Y48" s="146"/>
      <c r="Z48" s="146"/>
      <c r="AA48" s="146"/>
      <c r="AB48" s="147"/>
      <c r="AC48" s="147"/>
      <c r="AD48" s="147"/>
      <c r="AE48" s="147"/>
      <c r="AF48" s="147"/>
      <c r="AG48" s="147"/>
      <c r="AH48" s="147"/>
      <c r="AI48" s="147"/>
      <c r="AJ48" s="147"/>
    </row>
    <row r="49" spans="1:36" s="145" customFormat="1" x14ac:dyDescent="0.25">
      <c r="A49" s="63" t="s">
        <v>217</v>
      </c>
      <c r="B49" s="41">
        <v>25</v>
      </c>
      <c r="C49" s="38">
        <v>0.36</v>
      </c>
      <c r="D49" s="36" t="s">
        <v>48</v>
      </c>
      <c r="E49" s="51">
        <v>700</v>
      </c>
      <c r="F49" s="132">
        <f t="shared" si="17"/>
        <v>252</v>
      </c>
      <c r="G49" s="137">
        <f t="shared" si="18"/>
        <v>156.52173913043478</v>
      </c>
      <c r="H49" s="132">
        <f t="shared" si="19"/>
        <v>75600</v>
      </c>
      <c r="I49" s="163"/>
      <c r="J49" s="144"/>
      <c r="K49" s="142"/>
      <c r="L49" s="142"/>
      <c r="M49" s="163"/>
      <c r="N49" s="142"/>
      <c r="O49" s="142"/>
      <c r="P49" s="142"/>
      <c r="Q49" s="142"/>
      <c r="R49" s="142"/>
      <c r="S49" s="142"/>
      <c r="T49" s="142"/>
      <c r="U49" s="142"/>
      <c r="X49" s="146"/>
      <c r="Y49" s="146"/>
      <c r="Z49" s="146"/>
      <c r="AA49" s="146"/>
      <c r="AB49" s="147"/>
      <c r="AC49" s="147"/>
      <c r="AD49" s="147"/>
      <c r="AE49" s="147"/>
      <c r="AF49" s="147"/>
      <c r="AG49" s="147"/>
      <c r="AH49" s="147"/>
      <c r="AI49" s="147"/>
      <c r="AJ49" s="147"/>
    </row>
    <row r="50" spans="1:36" s="145" customFormat="1" x14ac:dyDescent="0.25">
      <c r="A50" s="63" t="s">
        <v>84</v>
      </c>
      <c r="B50" s="41">
        <v>26</v>
      </c>
      <c r="C50" s="38">
        <v>1</v>
      </c>
      <c r="D50" s="36" t="s">
        <v>48</v>
      </c>
      <c r="E50" s="51">
        <v>15</v>
      </c>
      <c r="F50" s="132">
        <f t="shared" si="17"/>
        <v>15</v>
      </c>
      <c r="G50" s="137">
        <f t="shared" si="18"/>
        <v>9.316770186335404</v>
      </c>
      <c r="H50" s="132">
        <f t="shared" si="19"/>
        <v>4500</v>
      </c>
      <c r="I50" s="163"/>
      <c r="J50" s="144"/>
      <c r="K50" s="142"/>
      <c r="L50" s="142"/>
      <c r="M50" s="163"/>
      <c r="N50" s="142"/>
      <c r="O50" s="142"/>
      <c r="P50" s="142"/>
      <c r="Q50" s="142"/>
      <c r="R50" s="142"/>
      <c r="S50" s="142"/>
      <c r="T50" s="142"/>
      <c r="U50" s="142"/>
      <c r="X50" s="146"/>
      <c r="Y50" s="146"/>
      <c r="Z50" s="146"/>
      <c r="AA50" s="146"/>
      <c r="AB50" s="147"/>
      <c r="AC50" s="147"/>
      <c r="AD50" s="147"/>
      <c r="AE50" s="147"/>
      <c r="AF50" s="147"/>
      <c r="AG50" s="147"/>
      <c r="AH50" s="147"/>
      <c r="AI50" s="147"/>
      <c r="AJ50" s="147"/>
    </row>
    <row r="51" spans="1:36" s="145" customFormat="1" x14ac:dyDescent="0.25">
      <c r="A51" s="63" t="s">
        <v>134</v>
      </c>
      <c r="B51" s="41">
        <v>27</v>
      </c>
      <c r="C51" s="39">
        <v>2</v>
      </c>
      <c r="D51" s="36" t="s">
        <v>49</v>
      </c>
      <c r="E51" s="51">
        <v>45</v>
      </c>
      <c r="F51" s="132">
        <f t="shared" si="17"/>
        <v>90</v>
      </c>
      <c r="G51" s="137">
        <f t="shared" si="18"/>
        <v>55.900621118012417</v>
      </c>
      <c r="H51" s="132">
        <f t="shared" si="19"/>
        <v>27000</v>
      </c>
      <c r="I51" s="163"/>
      <c r="J51" s="144"/>
      <c r="K51" s="142"/>
      <c r="L51" s="142"/>
      <c r="M51" s="163"/>
      <c r="N51" s="142"/>
      <c r="O51" s="142"/>
      <c r="P51" s="142"/>
      <c r="Q51" s="142"/>
      <c r="R51" s="142"/>
      <c r="S51" s="142"/>
      <c r="T51" s="142"/>
      <c r="U51" s="142"/>
      <c r="X51" s="146"/>
      <c r="Y51" s="146"/>
      <c r="Z51" s="146"/>
      <c r="AA51" s="146"/>
      <c r="AB51" s="147"/>
      <c r="AC51" s="147"/>
      <c r="AD51" s="147"/>
      <c r="AE51" s="147"/>
      <c r="AF51" s="147"/>
      <c r="AG51" s="147"/>
      <c r="AH51" s="147"/>
      <c r="AI51" s="147"/>
      <c r="AJ51" s="147"/>
    </row>
    <row r="52" spans="1:36" s="145" customFormat="1" x14ac:dyDescent="0.25">
      <c r="A52" s="63" t="s">
        <v>65</v>
      </c>
      <c r="B52" s="41">
        <v>28</v>
      </c>
      <c r="C52" s="39">
        <v>1</v>
      </c>
      <c r="D52" s="36" t="s">
        <v>48</v>
      </c>
      <c r="E52" s="51">
        <v>150</v>
      </c>
      <c r="F52" s="132">
        <f t="shared" si="17"/>
        <v>150</v>
      </c>
      <c r="G52" s="137">
        <f t="shared" si="18"/>
        <v>93.167701863354026</v>
      </c>
      <c r="H52" s="132">
        <f t="shared" si="19"/>
        <v>45000</v>
      </c>
      <c r="I52" s="163"/>
      <c r="J52" s="144"/>
      <c r="K52" s="142"/>
      <c r="L52" s="142"/>
      <c r="M52" s="163"/>
      <c r="N52" s="142"/>
      <c r="O52" s="142"/>
      <c r="P52" s="142"/>
      <c r="Q52" s="142"/>
      <c r="R52" s="142"/>
      <c r="S52" s="142"/>
      <c r="T52" s="142"/>
      <c r="U52" s="142"/>
      <c r="X52" s="146"/>
      <c r="Y52" s="146"/>
      <c r="Z52" s="146"/>
      <c r="AA52" s="146"/>
      <c r="AB52" s="147"/>
      <c r="AC52" s="147"/>
      <c r="AD52" s="147"/>
      <c r="AE52" s="147"/>
      <c r="AF52" s="147"/>
      <c r="AG52" s="147"/>
      <c r="AH52" s="147"/>
      <c r="AI52" s="147"/>
      <c r="AJ52" s="147"/>
    </row>
    <row r="53" spans="1:36" s="145" customFormat="1" x14ac:dyDescent="0.25">
      <c r="A53" s="173"/>
      <c r="B53" s="174" t="s">
        <v>55</v>
      </c>
      <c r="C53" s="175"/>
      <c r="D53" s="174"/>
      <c r="E53" s="176"/>
      <c r="F53" s="52">
        <f>SUM(F35:F52)</f>
        <v>1677.5</v>
      </c>
      <c r="G53" s="199">
        <f>F53/$B$5</f>
        <v>1041.9254658385094</v>
      </c>
      <c r="H53" s="133">
        <f>F53*$B$4</f>
        <v>503250</v>
      </c>
      <c r="I53" s="163"/>
      <c r="J53" s="144"/>
      <c r="K53" s="142"/>
      <c r="L53" s="142"/>
      <c r="M53" s="163"/>
      <c r="N53" s="142"/>
      <c r="O53" s="142"/>
      <c r="P53" s="142"/>
      <c r="Q53" s="142"/>
      <c r="R53" s="142"/>
      <c r="S53" s="142"/>
      <c r="T53" s="142"/>
      <c r="U53" s="142"/>
      <c r="X53" s="146"/>
      <c r="Y53" s="146"/>
      <c r="Z53" s="146"/>
      <c r="AA53" s="146"/>
      <c r="AB53" s="147"/>
      <c r="AC53" s="147"/>
      <c r="AD53" s="147"/>
      <c r="AE53" s="147"/>
      <c r="AF53" s="147"/>
      <c r="AG53" s="147"/>
      <c r="AH53" s="147"/>
      <c r="AI53" s="147"/>
      <c r="AJ53" s="147"/>
    </row>
    <row r="54" spans="1:36" s="145" customFormat="1" x14ac:dyDescent="0.25">
      <c r="A54" s="125" t="s">
        <v>97</v>
      </c>
      <c r="B54" s="122">
        <v>29</v>
      </c>
      <c r="C54" s="38">
        <v>0.5</v>
      </c>
      <c r="D54" s="123" t="s">
        <v>63</v>
      </c>
      <c r="E54" s="137">
        <f>Investeringskalkyl!$F$74</f>
        <v>11694.638905982907</v>
      </c>
      <c r="F54" s="132">
        <f>C54/100*E54</f>
        <v>58.473194529914537</v>
      </c>
      <c r="G54" s="137">
        <f t="shared" si="18"/>
        <v>36.318754366406544</v>
      </c>
      <c r="H54" s="132">
        <f t="shared" si="19"/>
        <v>17541.95835897436</v>
      </c>
      <c r="I54" s="163"/>
      <c r="J54" s="144"/>
      <c r="K54" s="142"/>
      <c r="L54" s="142"/>
      <c r="M54" s="163"/>
      <c r="N54" s="142"/>
      <c r="O54" s="142"/>
      <c r="P54" s="142"/>
      <c r="Q54" s="142"/>
      <c r="R54" s="142"/>
      <c r="S54" s="142"/>
      <c r="T54" s="142"/>
      <c r="U54" s="142"/>
      <c r="X54" s="146"/>
      <c r="Y54" s="146"/>
      <c r="Z54" s="146"/>
      <c r="AA54" s="146"/>
      <c r="AB54" s="147"/>
      <c r="AC54" s="147"/>
      <c r="AD54" s="147"/>
      <c r="AE54" s="147"/>
      <c r="AF54" s="147"/>
      <c r="AG54" s="147"/>
      <c r="AH54" s="147"/>
      <c r="AI54" s="147"/>
      <c r="AJ54" s="147"/>
    </row>
    <row r="55" spans="1:36" s="145" customFormat="1" x14ac:dyDescent="0.25">
      <c r="A55" s="125" t="s">
        <v>205</v>
      </c>
      <c r="B55" s="122">
        <v>30</v>
      </c>
      <c r="C55" s="38">
        <v>1</v>
      </c>
      <c r="D55" s="123" t="s">
        <v>48</v>
      </c>
      <c r="E55" s="137">
        <v>20</v>
      </c>
      <c r="F55" s="132">
        <f>C55*E55</f>
        <v>20</v>
      </c>
      <c r="G55" s="137">
        <f t="shared" ref="G55" si="26">F55/$B$5</f>
        <v>12.422360248447204</v>
      </c>
      <c r="H55" s="132">
        <f t="shared" ref="H55" si="27">F55*$B$4</f>
        <v>6000</v>
      </c>
      <c r="I55" s="163"/>
      <c r="J55" s="144"/>
      <c r="K55" s="142"/>
      <c r="L55" s="142"/>
      <c r="M55" s="163"/>
      <c r="N55" s="142"/>
      <c r="O55" s="142"/>
      <c r="P55" s="142"/>
      <c r="Q55" s="142"/>
      <c r="R55" s="142"/>
      <c r="S55" s="142"/>
      <c r="T55" s="142"/>
      <c r="U55" s="142"/>
      <c r="X55" s="146"/>
      <c r="Y55" s="146"/>
      <c r="Z55" s="146"/>
      <c r="AA55" s="146"/>
      <c r="AB55" s="147"/>
      <c r="AC55" s="147"/>
      <c r="AD55" s="147"/>
      <c r="AE55" s="147"/>
      <c r="AF55" s="147"/>
      <c r="AG55" s="147"/>
      <c r="AH55" s="147"/>
      <c r="AI55" s="147"/>
      <c r="AJ55" s="147"/>
    </row>
    <row r="56" spans="1:36" s="145" customFormat="1" x14ac:dyDescent="0.25">
      <c r="A56" s="125" t="s">
        <v>56</v>
      </c>
      <c r="B56" s="177" t="s">
        <v>70</v>
      </c>
      <c r="C56" s="136">
        <f>($E$23+$E$35)/2</f>
        <v>2500</v>
      </c>
      <c r="D56" s="123" t="s">
        <v>48</v>
      </c>
      <c r="E56" s="135">
        <f>Investeringskalkyl!$B$23</f>
        <v>0.05</v>
      </c>
      <c r="F56" s="132">
        <f t="shared" ref="F56:F58" si="28">C56*E56</f>
        <v>125</v>
      </c>
      <c r="G56" s="137">
        <f t="shared" si="18"/>
        <v>77.639751552795033</v>
      </c>
      <c r="H56" s="132">
        <f t="shared" si="19"/>
        <v>37500</v>
      </c>
      <c r="I56" s="163"/>
      <c r="J56" s="144"/>
      <c r="K56" s="142"/>
      <c r="L56" s="142"/>
      <c r="M56" s="163"/>
      <c r="N56" s="142"/>
      <c r="O56" s="142"/>
      <c r="P56" s="142"/>
      <c r="Q56" s="142"/>
      <c r="R56" s="142"/>
      <c r="S56" s="142"/>
      <c r="T56" s="142"/>
      <c r="U56" s="142"/>
      <c r="X56" s="146"/>
      <c r="Y56" s="146"/>
      <c r="Z56" s="146"/>
      <c r="AA56" s="146"/>
      <c r="AB56" s="147"/>
      <c r="AC56" s="147"/>
      <c r="AD56" s="147"/>
      <c r="AE56" s="147"/>
      <c r="AF56" s="147"/>
      <c r="AG56" s="147"/>
      <c r="AH56" s="147"/>
      <c r="AI56" s="147"/>
      <c r="AJ56" s="147"/>
    </row>
    <row r="57" spans="1:36" s="145" customFormat="1" x14ac:dyDescent="0.25">
      <c r="A57" s="125" t="s">
        <v>109</v>
      </c>
      <c r="B57" s="177" t="s">
        <v>70</v>
      </c>
      <c r="C57" s="136">
        <f>(($F$53-$F$35)+SUM(F61:F66))/2</f>
        <v>1570.75</v>
      </c>
      <c r="D57" s="123" t="s">
        <v>48</v>
      </c>
      <c r="E57" s="135">
        <f>Investeringskalkyl!$B$23</f>
        <v>0.05</v>
      </c>
      <c r="F57" s="132">
        <f t="shared" si="28"/>
        <v>78.537500000000009</v>
      </c>
      <c r="G57" s="137">
        <f t="shared" si="18"/>
        <v>48.781055900621119</v>
      </c>
      <c r="H57" s="132">
        <f t="shared" si="19"/>
        <v>23561.250000000004</v>
      </c>
      <c r="I57" s="163"/>
      <c r="J57" s="144"/>
      <c r="K57" s="142"/>
      <c r="L57" s="142"/>
      <c r="M57" s="163"/>
      <c r="N57" s="142"/>
      <c r="O57" s="142"/>
      <c r="P57" s="142"/>
      <c r="Q57" s="142"/>
      <c r="R57" s="142"/>
      <c r="S57" s="142"/>
      <c r="T57" s="142"/>
      <c r="U57" s="142"/>
      <c r="X57" s="146"/>
      <c r="Y57" s="146"/>
      <c r="Z57" s="146"/>
      <c r="AA57" s="146"/>
      <c r="AB57" s="147"/>
      <c r="AC57" s="147"/>
      <c r="AD57" s="147"/>
      <c r="AE57" s="147"/>
      <c r="AF57" s="147"/>
      <c r="AG57" s="147"/>
      <c r="AH57" s="147"/>
      <c r="AI57" s="147"/>
      <c r="AJ57" s="147"/>
    </row>
    <row r="58" spans="1:36" s="145" customFormat="1" x14ac:dyDescent="0.25">
      <c r="A58" s="63"/>
      <c r="B58" s="47"/>
      <c r="C58" s="39"/>
      <c r="D58" s="40"/>
      <c r="E58" s="82"/>
      <c r="F58" s="132">
        <f t="shared" si="28"/>
        <v>0</v>
      </c>
      <c r="G58" s="137">
        <f t="shared" si="18"/>
        <v>0</v>
      </c>
      <c r="H58" s="132">
        <f t="shared" si="19"/>
        <v>0</v>
      </c>
      <c r="I58" s="163"/>
      <c r="J58" s="144"/>
      <c r="K58" s="142"/>
      <c r="L58" s="142"/>
      <c r="M58" s="163"/>
      <c r="N58" s="142"/>
      <c r="O58" s="142"/>
      <c r="P58" s="142"/>
      <c r="Q58" s="142"/>
      <c r="R58" s="142"/>
      <c r="S58" s="142"/>
      <c r="T58" s="142"/>
      <c r="U58" s="142"/>
      <c r="X58" s="146"/>
      <c r="Y58" s="146"/>
      <c r="Z58" s="146"/>
      <c r="AA58" s="146"/>
      <c r="AB58" s="147"/>
      <c r="AC58" s="147"/>
      <c r="AD58" s="147"/>
      <c r="AE58" s="147"/>
      <c r="AF58" s="147"/>
      <c r="AG58" s="147"/>
      <c r="AH58" s="147"/>
      <c r="AI58" s="147"/>
      <c r="AJ58" s="147"/>
    </row>
    <row r="59" spans="1:36" s="145" customFormat="1" x14ac:dyDescent="0.25">
      <c r="A59" s="178"/>
      <c r="B59" s="174" t="s">
        <v>57</v>
      </c>
      <c r="C59" s="179" t="s">
        <v>47</v>
      </c>
      <c r="D59" s="174"/>
      <c r="E59" s="176" t="s">
        <v>47</v>
      </c>
      <c r="F59" s="52">
        <f>SUM(F54:F58)</f>
        <v>282.01069452991453</v>
      </c>
      <c r="G59" s="199">
        <f>F59/$B$5</f>
        <v>175.16192206826989</v>
      </c>
      <c r="H59" s="133">
        <f>F59*$B$4</f>
        <v>84603.208358974356</v>
      </c>
      <c r="I59" s="163"/>
      <c r="J59" s="144"/>
      <c r="K59" s="142"/>
      <c r="L59" s="142"/>
      <c r="M59" s="163"/>
      <c r="N59" s="142"/>
      <c r="O59" s="142"/>
      <c r="P59" s="142"/>
      <c r="Q59" s="142"/>
      <c r="R59" s="142"/>
      <c r="S59" s="142"/>
      <c r="T59" s="142"/>
      <c r="U59" s="142"/>
      <c r="X59" s="146"/>
      <c r="Y59" s="146"/>
      <c r="Z59" s="146"/>
      <c r="AA59" s="146"/>
      <c r="AB59" s="147"/>
      <c r="AC59" s="147"/>
      <c r="AD59" s="147"/>
      <c r="AE59" s="147"/>
      <c r="AF59" s="147"/>
      <c r="AG59" s="147"/>
      <c r="AH59" s="147"/>
      <c r="AI59" s="147"/>
      <c r="AJ59" s="147"/>
    </row>
    <row r="60" spans="1:36" s="145" customFormat="1" x14ac:dyDescent="0.25">
      <c r="A60" s="125" t="s">
        <v>58</v>
      </c>
      <c r="B60" s="177">
        <v>31</v>
      </c>
      <c r="C60" s="126">
        <v>1</v>
      </c>
      <c r="D60" s="124" t="s">
        <v>48</v>
      </c>
      <c r="E60" s="137">
        <f>Investeringskalkyl!$F$75*(Investeringskalkyl!$B$23/(1-(1+Investeringskalkyl!$B$23)^(-Investeringskalkyl!$B$26)))</f>
        <v>752.66558124459709</v>
      </c>
      <c r="F60" s="132">
        <f>C60*E60</f>
        <v>752.66558124459709</v>
      </c>
      <c r="G60" s="137">
        <f t="shared" si="18"/>
        <v>467.49414984136462</v>
      </c>
      <c r="H60" s="132">
        <f>F60*$B$4</f>
        <v>225799.67437337912</v>
      </c>
      <c r="I60" s="163"/>
      <c r="J60" s="144"/>
      <c r="K60" s="142"/>
      <c r="L60" s="142"/>
      <c r="M60" s="163"/>
      <c r="N60" s="142"/>
      <c r="O60" s="142"/>
      <c r="P60" s="142"/>
      <c r="Q60" s="142"/>
      <c r="R60" s="142"/>
      <c r="S60" s="142"/>
      <c r="T60" s="142"/>
      <c r="U60" s="142"/>
      <c r="X60" s="146"/>
      <c r="Y60" s="146"/>
      <c r="Z60" s="146"/>
      <c r="AA60" s="146"/>
      <c r="AB60" s="147"/>
      <c r="AC60" s="147"/>
      <c r="AD60" s="147"/>
      <c r="AE60" s="147"/>
      <c r="AF60" s="147"/>
      <c r="AG60" s="147"/>
      <c r="AH60" s="147"/>
      <c r="AI60" s="147"/>
      <c r="AJ60" s="147"/>
    </row>
    <row r="61" spans="1:36" s="145" customFormat="1" x14ac:dyDescent="0.25">
      <c r="A61" s="63" t="s">
        <v>67</v>
      </c>
      <c r="B61" s="41">
        <v>32</v>
      </c>
      <c r="C61" s="39">
        <v>1</v>
      </c>
      <c r="D61" s="36" t="s">
        <v>47</v>
      </c>
      <c r="E61" s="49">
        <v>9</v>
      </c>
      <c r="F61" s="132">
        <f t="shared" ref="F61:F66" si="29">C61*E61</f>
        <v>9</v>
      </c>
      <c r="G61" s="137">
        <f t="shared" si="18"/>
        <v>5.5900621118012417</v>
      </c>
      <c r="H61" s="132">
        <f t="shared" ref="H61:H66" si="30">F61*$B$4</f>
        <v>2700</v>
      </c>
      <c r="I61" s="163"/>
      <c r="J61" s="144"/>
      <c r="K61" s="142"/>
      <c r="L61" s="142"/>
      <c r="M61" s="163"/>
      <c r="N61" s="142"/>
      <c r="O61" s="142"/>
      <c r="P61" s="142"/>
      <c r="Q61" s="142"/>
      <c r="R61" s="142"/>
      <c r="S61" s="142"/>
      <c r="T61" s="142"/>
      <c r="U61" s="142"/>
      <c r="X61" s="146"/>
      <c r="Y61" s="146"/>
      <c r="Z61" s="146"/>
      <c r="AA61" s="146"/>
      <c r="AB61" s="147"/>
      <c r="AC61" s="147"/>
      <c r="AD61" s="147"/>
      <c r="AE61" s="147"/>
      <c r="AF61" s="147"/>
      <c r="AG61" s="147"/>
      <c r="AH61" s="147"/>
      <c r="AI61" s="147"/>
      <c r="AJ61" s="147"/>
    </row>
    <row r="62" spans="1:36" s="145" customFormat="1" x14ac:dyDescent="0.25">
      <c r="A62" s="63" t="s">
        <v>68</v>
      </c>
      <c r="B62" s="48">
        <v>33</v>
      </c>
      <c r="C62" s="39">
        <v>1</v>
      </c>
      <c r="D62" s="36"/>
      <c r="E62" s="50">
        <v>10</v>
      </c>
      <c r="F62" s="132">
        <f t="shared" si="29"/>
        <v>10</v>
      </c>
      <c r="G62" s="137">
        <f t="shared" si="18"/>
        <v>6.2111801242236018</v>
      </c>
      <c r="H62" s="132">
        <f t="shared" si="30"/>
        <v>3000</v>
      </c>
      <c r="I62" s="142"/>
      <c r="J62" s="144"/>
      <c r="K62" s="144"/>
      <c r="L62" s="142"/>
      <c r="M62" s="163"/>
      <c r="N62" s="142"/>
      <c r="O62" s="142"/>
      <c r="P62" s="142"/>
      <c r="Q62" s="142"/>
      <c r="R62" s="142"/>
      <c r="S62" s="142"/>
      <c r="T62" s="142"/>
      <c r="U62" s="142"/>
      <c r="X62" s="146"/>
      <c r="Y62" s="146"/>
      <c r="Z62" s="146"/>
      <c r="AA62" s="146"/>
      <c r="AB62" s="147"/>
      <c r="AC62" s="147"/>
      <c r="AD62" s="147"/>
      <c r="AE62" s="147"/>
      <c r="AF62" s="147"/>
      <c r="AG62" s="147"/>
      <c r="AH62" s="147"/>
      <c r="AI62" s="147"/>
      <c r="AJ62" s="147"/>
    </row>
    <row r="63" spans="1:36" s="145" customFormat="1" ht="17.25" customHeight="1" x14ac:dyDescent="0.25">
      <c r="A63" s="63" t="s">
        <v>62</v>
      </c>
      <c r="B63" s="41">
        <v>34</v>
      </c>
      <c r="C63" s="37">
        <v>4</v>
      </c>
      <c r="D63" s="36" t="s">
        <v>59</v>
      </c>
      <c r="E63" s="51">
        <v>220</v>
      </c>
      <c r="F63" s="132">
        <f t="shared" si="29"/>
        <v>880</v>
      </c>
      <c r="G63" s="137">
        <f t="shared" si="18"/>
        <v>546.58385093167703</v>
      </c>
      <c r="H63" s="132">
        <f t="shared" si="30"/>
        <v>264000</v>
      </c>
      <c r="I63" s="163"/>
      <c r="J63" s="144"/>
      <c r="K63" s="142"/>
      <c r="L63" s="142"/>
      <c r="M63" s="163"/>
      <c r="N63" s="142"/>
      <c r="O63" s="142"/>
      <c r="P63" s="142"/>
      <c r="Q63" s="142"/>
      <c r="R63" s="142"/>
      <c r="S63" s="142"/>
      <c r="T63" s="142"/>
      <c r="U63" s="142"/>
      <c r="X63" s="146"/>
      <c r="Y63" s="146"/>
      <c r="Z63" s="146"/>
      <c r="AA63" s="146"/>
      <c r="AB63" s="147"/>
      <c r="AC63" s="147"/>
      <c r="AD63" s="147"/>
      <c r="AE63" s="147"/>
      <c r="AF63" s="147"/>
      <c r="AG63" s="147"/>
      <c r="AH63" s="147"/>
      <c r="AI63" s="147"/>
      <c r="AJ63" s="147"/>
    </row>
    <row r="64" spans="1:36" s="145" customFormat="1" x14ac:dyDescent="0.25">
      <c r="A64" s="63" t="s">
        <v>167</v>
      </c>
      <c r="B64" s="41">
        <v>34</v>
      </c>
      <c r="C64" s="37">
        <v>2</v>
      </c>
      <c r="D64" s="36" t="s">
        <v>59</v>
      </c>
      <c r="E64" s="51">
        <v>220</v>
      </c>
      <c r="F64" s="132">
        <f t="shared" si="29"/>
        <v>440</v>
      </c>
      <c r="G64" s="137">
        <f t="shared" si="18"/>
        <v>273.29192546583852</v>
      </c>
      <c r="H64" s="132">
        <f t="shared" si="30"/>
        <v>132000</v>
      </c>
      <c r="I64" s="163"/>
      <c r="J64" s="144"/>
      <c r="K64" s="142"/>
      <c r="L64" s="142"/>
      <c r="M64" s="163"/>
      <c r="N64" s="142"/>
      <c r="O64" s="142"/>
      <c r="P64" s="142"/>
      <c r="Q64" s="142"/>
      <c r="R64" s="142"/>
      <c r="S64" s="142"/>
      <c r="T64" s="142"/>
      <c r="U64" s="142"/>
      <c r="X64" s="146"/>
      <c r="Y64" s="146"/>
      <c r="Z64" s="146"/>
      <c r="AA64" s="146"/>
      <c r="AB64" s="147"/>
      <c r="AC64" s="147"/>
      <c r="AD64" s="147"/>
      <c r="AE64" s="147"/>
      <c r="AF64" s="147"/>
      <c r="AG64" s="147"/>
      <c r="AH64" s="147"/>
      <c r="AI64" s="147"/>
      <c r="AJ64" s="147"/>
    </row>
    <row r="65" spans="1:38" s="145" customFormat="1" x14ac:dyDescent="0.25">
      <c r="A65" s="63" t="s">
        <v>105</v>
      </c>
      <c r="B65" s="41">
        <v>34</v>
      </c>
      <c r="C65" s="37">
        <v>0.5</v>
      </c>
      <c r="D65" s="36" t="s">
        <v>59</v>
      </c>
      <c r="E65" s="51">
        <v>250</v>
      </c>
      <c r="F65" s="132">
        <f t="shared" si="29"/>
        <v>125</v>
      </c>
      <c r="G65" s="137">
        <f t="shared" si="18"/>
        <v>77.639751552795033</v>
      </c>
      <c r="H65" s="132">
        <f t="shared" si="30"/>
        <v>37500</v>
      </c>
      <c r="I65" s="163"/>
      <c r="J65" s="144"/>
      <c r="K65" s="142"/>
      <c r="L65" s="142"/>
      <c r="M65" s="163"/>
      <c r="N65" s="142"/>
      <c r="O65" s="142"/>
      <c r="P65" s="142"/>
      <c r="Q65" s="142"/>
      <c r="R65" s="142"/>
      <c r="S65" s="142"/>
      <c r="T65" s="142"/>
      <c r="U65" s="142"/>
      <c r="X65" s="146"/>
      <c r="Y65" s="146"/>
      <c r="Z65" s="146"/>
      <c r="AA65" s="146"/>
      <c r="AB65" s="147"/>
      <c r="AC65" s="147"/>
      <c r="AD65" s="147"/>
      <c r="AE65" s="147"/>
      <c r="AF65" s="147"/>
      <c r="AG65" s="147"/>
      <c r="AH65" s="147"/>
      <c r="AI65" s="147"/>
      <c r="AJ65" s="147"/>
    </row>
    <row r="66" spans="1:38" s="145" customFormat="1" x14ac:dyDescent="0.25">
      <c r="A66" s="63"/>
      <c r="B66" s="41"/>
      <c r="C66" s="39"/>
      <c r="D66" s="36"/>
      <c r="E66" s="51"/>
      <c r="F66" s="132">
        <f t="shared" si="29"/>
        <v>0</v>
      </c>
      <c r="G66" s="137">
        <f t="shared" si="18"/>
        <v>0</v>
      </c>
      <c r="H66" s="132">
        <f t="shared" si="30"/>
        <v>0</v>
      </c>
      <c r="I66" s="163"/>
      <c r="J66" s="144"/>
      <c r="K66" s="142"/>
      <c r="L66" s="142"/>
      <c r="M66" s="163"/>
      <c r="N66" s="142"/>
      <c r="O66" s="142"/>
      <c r="P66" s="142"/>
      <c r="Q66" s="142"/>
      <c r="R66" s="142"/>
      <c r="S66" s="142"/>
      <c r="T66" s="142"/>
      <c r="U66" s="142"/>
      <c r="X66" s="146"/>
      <c r="Y66" s="146"/>
      <c r="Z66" s="146"/>
      <c r="AA66" s="146"/>
      <c r="AB66" s="147"/>
      <c r="AC66" s="147"/>
      <c r="AD66" s="147"/>
      <c r="AE66" s="147"/>
      <c r="AF66" s="147"/>
      <c r="AG66" s="147"/>
      <c r="AH66" s="147"/>
      <c r="AI66" s="147"/>
      <c r="AJ66" s="147"/>
    </row>
    <row r="67" spans="1:38" s="145" customFormat="1" x14ac:dyDescent="0.25">
      <c r="A67" s="180"/>
      <c r="B67" s="174" t="s">
        <v>60</v>
      </c>
      <c r="C67" s="175"/>
      <c r="D67" s="174"/>
      <c r="E67" s="181"/>
      <c r="F67" s="52">
        <f>SUM(F60:F66)</f>
        <v>2216.665581244597</v>
      </c>
      <c r="G67" s="199">
        <f>F67/$B$5</f>
        <v>1376.8109200276999</v>
      </c>
      <c r="H67" s="133">
        <f>F67*$B$4</f>
        <v>664999.67437337909</v>
      </c>
      <c r="I67" s="142"/>
      <c r="J67" s="144"/>
      <c r="K67" s="144"/>
      <c r="L67" s="142"/>
      <c r="M67" s="163"/>
      <c r="N67" s="142"/>
      <c r="O67" s="142"/>
      <c r="P67" s="142"/>
      <c r="Q67" s="142"/>
      <c r="R67" s="142"/>
      <c r="S67" s="142"/>
      <c r="T67" s="142"/>
      <c r="U67" s="142"/>
      <c r="X67" s="146"/>
      <c r="Y67" s="146"/>
      <c r="Z67" s="146"/>
      <c r="AA67" s="146"/>
      <c r="AB67" s="147"/>
      <c r="AC67" s="147"/>
      <c r="AD67" s="147"/>
      <c r="AE67" s="147"/>
      <c r="AF67" s="147"/>
      <c r="AG67" s="147"/>
      <c r="AH67" s="147"/>
      <c r="AI67" s="147"/>
      <c r="AJ67" s="147"/>
    </row>
    <row r="68" spans="1:38" s="145" customFormat="1" x14ac:dyDescent="0.25">
      <c r="A68" s="173" t="s">
        <v>71</v>
      </c>
      <c r="B68" s="174"/>
      <c r="C68" s="175"/>
      <c r="D68" s="174"/>
      <c r="E68" s="181"/>
      <c r="F68" s="52">
        <f>$F$53+$F$59+$F$67</f>
        <v>4176.1762757745109</v>
      </c>
      <c r="G68" s="199">
        <f t="shared" si="18"/>
        <v>2593.8983079344789</v>
      </c>
      <c r="H68" s="133">
        <f>F68*$B$4</f>
        <v>1252852.8827323532</v>
      </c>
      <c r="I68" s="142"/>
      <c r="J68" s="144"/>
      <c r="K68" s="144"/>
      <c r="L68" s="142"/>
      <c r="M68" s="163"/>
      <c r="N68" s="142"/>
      <c r="O68" s="142"/>
      <c r="P68" s="142"/>
      <c r="Q68" s="142"/>
      <c r="R68" s="142"/>
      <c r="S68" s="142"/>
      <c r="T68" s="142"/>
      <c r="U68" s="142"/>
      <c r="X68" s="146"/>
      <c r="Y68" s="146"/>
      <c r="Z68" s="146"/>
      <c r="AA68" s="146"/>
      <c r="AB68" s="147"/>
      <c r="AC68" s="147"/>
      <c r="AD68" s="147"/>
      <c r="AE68" s="147"/>
      <c r="AF68" s="147"/>
      <c r="AG68" s="147"/>
      <c r="AH68" s="147"/>
      <c r="AI68" s="147"/>
      <c r="AJ68" s="147"/>
    </row>
    <row r="69" spans="1:38" s="145" customFormat="1" x14ac:dyDescent="0.25">
      <c r="A69" s="125"/>
      <c r="B69" s="142"/>
      <c r="C69" s="142"/>
      <c r="D69" s="142"/>
      <c r="E69" s="142"/>
      <c r="F69" s="134"/>
      <c r="G69" s="200"/>
      <c r="H69" s="134"/>
      <c r="I69" s="142"/>
      <c r="J69" s="144"/>
      <c r="K69" s="144"/>
      <c r="L69" s="142"/>
      <c r="M69" s="144"/>
      <c r="N69" s="144"/>
      <c r="O69" s="163"/>
      <c r="P69" s="142"/>
      <c r="Q69" s="142"/>
      <c r="R69" s="142"/>
      <c r="S69" s="142"/>
      <c r="T69" s="142"/>
      <c r="U69" s="142"/>
      <c r="V69" s="142"/>
      <c r="W69" s="142"/>
      <c r="Z69" s="146"/>
      <c r="AA69" s="146"/>
      <c r="AB69" s="146"/>
      <c r="AC69" s="146"/>
      <c r="AD69" s="147"/>
      <c r="AE69" s="147"/>
      <c r="AF69" s="147"/>
      <c r="AG69" s="147"/>
      <c r="AH69" s="147"/>
      <c r="AI69" s="147"/>
      <c r="AJ69" s="147"/>
      <c r="AK69" s="147"/>
      <c r="AL69" s="147"/>
    </row>
    <row r="70" spans="1:38" s="145" customFormat="1" x14ac:dyDescent="0.25">
      <c r="A70" s="182"/>
      <c r="C70" s="142"/>
      <c r="D70" s="142"/>
      <c r="E70" s="183"/>
      <c r="F70" s="126"/>
      <c r="G70" s="200"/>
      <c r="H70" s="184"/>
      <c r="I70" s="185"/>
      <c r="J70" s="185"/>
      <c r="K70" s="142"/>
      <c r="L70" s="144"/>
      <c r="M70" s="144"/>
      <c r="N70" s="144"/>
      <c r="O70" s="163"/>
      <c r="P70" s="142"/>
      <c r="Q70" s="142"/>
      <c r="R70" s="142"/>
      <c r="S70" s="142"/>
      <c r="T70" s="142"/>
      <c r="U70" s="142"/>
      <c r="V70" s="142"/>
      <c r="W70" s="142"/>
      <c r="Z70" s="146"/>
      <c r="AA70" s="146"/>
      <c r="AB70" s="146"/>
      <c r="AC70" s="146"/>
      <c r="AD70" s="147"/>
      <c r="AE70" s="147"/>
      <c r="AF70" s="147"/>
      <c r="AG70" s="147"/>
      <c r="AH70" s="147"/>
      <c r="AI70" s="147"/>
      <c r="AJ70" s="147"/>
      <c r="AK70" s="147"/>
      <c r="AL70" s="147"/>
    </row>
    <row r="71" spans="1:38" s="145" customFormat="1" x14ac:dyDescent="0.25">
      <c r="A71" s="182"/>
      <c r="C71" s="142"/>
      <c r="D71" s="142"/>
      <c r="E71" s="183"/>
      <c r="G71" s="200"/>
      <c r="H71" s="142"/>
      <c r="I71" s="186"/>
      <c r="J71" s="185"/>
      <c r="K71" s="142"/>
      <c r="L71" s="144"/>
      <c r="M71" s="144"/>
      <c r="N71" s="144"/>
      <c r="O71" s="163"/>
      <c r="P71" s="142"/>
      <c r="Q71" s="142"/>
      <c r="R71" s="142"/>
      <c r="S71" s="142"/>
      <c r="T71" s="142"/>
      <c r="U71" s="142"/>
      <c r="V71" s="142"/>
      <c r="W71" s="142"/>
      <c r="Z71" s="146"/>
      <c r="AA71" s="146"/>
      <c r="AB71" s="146"/>
      <c r="AC71" s="146"/>
      <c r="AD71" s="147"/>
      <c r="AE71" s="147"/>
      <c r="AF71" s="147"/>
      <c r="AG71" s="147"/>
      <c r="AH71" s="147"/>
      <c r="AI71" s="147"/>
      <c r="AJ71" s="147"/>
      <c r="AK71" s="147"/>
      <c r="AL71" s="147"/>
    </row>
    <row r="72" spans="1:38" s="145" customFormat="1" x14ac:dyDescent="0.25">
      <c r="A72" s="182"/>
      <c r="C72" s="142"/>
      <c r="D72" s="142"/>
      <c r="E72" s="183"/>
      <c r="G72" s="200"/>
      <c r="H72" s="142"/>
      <c r="I72" s="186"/>
      <c r="J72" s="185"/>
      <c r="K72" s="142"/>
      <c r="L72" s="144"/>
      <c r="M72" s="144"/>
      <c r="N72" s="144"/>
      <c r="O72" s="163"/>
      <c r="P72" s="142"/>
      <c r="Q72" s="142"/>
      <c r="R72" s="142"/>
      <c r="S72" s="142"/>
      <c r="T72" s="142"/>
      <c r="U72" s="142"/>
      <c r="V72" s="142"/>
      <c r="W72" s="142"/>
      <c r="Z72" s="146"/>
      <c r="AA72" s="146"/>
      <c r="AB72" s="146"/>
      <c r="AC72" s="146"/>
      <c r="AD72" s="147"/>
      <c r="AE72" s="147"/>
      <c r="AF72" s="147"/>
      <c r="AG72" s="147"/>
      <c r="AH72" s="147"/>
      <c r="AI72" s="147"/>
      <c r="AJ72" s="147"/>
      <c r="AK72" s="147"/>
      <c r="AL72" s="147"/>
    </row>
    <row r="73" spans="1:38" s="145" customFormat="1" x14ac:dyDescent="0.25">
      <c r="A73" s="182"/>
      <c r="C73" s="142"/>
      <c r="D73" s="142"/>
      <c r="E73" s="183"/>
      <c r="F73" s="223"/>
      <c r="G73" s="200"/>
      <c r="H73" s="142"/>
      <c r="I73" s="185"/>
      <c r="J73" s="185"/>
      <c r="K73" s="142"/>
      <c r="L73" s="144"/>
      <c r="M73" s="144"/>
      <c r="N73" s="144"/>
      <c r="O73" s="163"/>
      <c r="P73" s="142"/>
      <c r="Q73" s="142"/>
      <c r="R73" s="142"/>
      <c r="S73" s="142"/>
      <c r="T73" s="142"/>
      <c r="U73" s="142"/>
      <c r="V73" s="142"/>
      <c r="W73" s="142"/>
      <c r="Z73" s="146"/>
      <c r="AA73" s="146"/>
      <c r="AB73" s="146"/>
      <c r="AC73" s="146"/>
      <c r="AD73" s="147"/>
      <c r="AE73" s="147"/>
      <c r="AF73" s="147"/>
      <c r="AG73" s="147"/>
      <c r="AH73" s="147"/>
      <c r="AI73" s="147"/>
      <c r="AJ73" s="147"/>
      <c r="AK73" s="147"/>
      <c r="AL73" s="147"/>
    </row>
    <row r="74" spans="1:38" s="145" customFormat="1" x14ac:dyDescent="0.25">
      <c r="A74" s="182"/>
      <c r="C74" s="142"/>
      <c r="D74" s="142"/>
      <c r="E74" s="183"/>
      <c r="G74" s="200"/>
      <c r="H74" s="142"/>
      <c r="I74" s="185"/>
      <c r="J74" s="185"/>
      <c r="K74" s="142"/>
      <c r="L74" s="144"/>
      <c r="M74" s="142"/>
      <c r="N74" s="142"/>
      <c r="O74" s="142"/>
      <c r="P74" s="142"/>
      <c r="Q74" s="142"/>
      <c r="R74" s="142"/>
      <c r="S74" s="142"/>
      <c r="V74" s="146"/>
      <c r="W74" s="146"/>
      <c r="X74" s="146"/>
      <c r="Y74" s="146"/>
      <c r="Z74" s="147"/>
      <c r="AA74" s="147"/>
      <c r="AB74" s="147"/>
      <c r="AC74" s="147"/>
      <c r="AD74" s="147"/>
      <c r="AE74" s="147"/>
      <c r="AF74" s="147"/>
      <c r="AG74" s="147"/>
      <c r="AH74" s="147"/>
    </row>
    <row r="75" spans="1:38" s="145" customFormat="1" x14ac:dyDescent="0.25">
      <c r="A75" s="182"/>
      <c r="C75" s="142"/>
      <c r="D75" s="142"/>
      <c r="E75" s="183"/>
      <c r="G75" s="144"/>
      <c r="H75" s="142"/>
      <c r="I75" s="144"/>
      <c r="J75" s="144"/>
      <c r="K75" s="163"/>
      <c r="L75" s="142"/>
      <c r="M75" s="142"/>
      <c r="N75" s="142"/>
      <c r="O75" s="142"/>
      <c r="P75" s="142"/>
      <c r="Q75" s="142"/>
      <c r="R75" s="142"/>
      <c r="S75" s="142"/>
      <c r="V75" s="146"/>
      <c r="W75" s="146"/>
      <c r="X75" s="146"/>
      <c r="Y75" s="146"/>
      <c r="Z75" s="147"/>
      <c r="AA75" s="147"/>
      <c r="AB75" s="147"/>
      <c r="AC75" s="147"/>
      <c r="AD75" s="147"/>
      <c r="AE75" s="147"/>
      <c r="AF75" s="147"/>
      <c r="AG75" s="147"/>
      <c r="AH75" s="147"/>
    </row>
    <row r="76" spans="1:38" s="145" customFormat="1" x14ac:dyDescent="0.25">
      <c r="A76" s="182"/>
      <c r="C76" s="142"/>
      <c r="D76" s="142"/>
      <c r="E76" s="183"/>
      <c r="G76" s="144"/>
      <c r="H76" s="142"/>
      <c r="I76" s="144"/>
      <c r="J76" s="144"/>
      <c r="K76" s="163"/>
      <c r="L76" s="142"/>
      <c r="M76" s="142"/>
      <c r="N76" s="142"/>
      <c r="O76" s="142"/>
      <c r="P76" s="142"/>
      <c r="Q76" s="142"/>
      <c r="R76" s="142"/>
      <c r="S76" s="142"/>
      <c r="V76" s="146"/>
      <c r="W76" s="146"/>
      <c r="X76" s="146"/>
      <c r="Y76" s="146"/>
      <c r="Z76" s="147"/>
      <c r="AA76" s="147"/>
      <c r="AB76" s="147"/>
      <c r="AC76" s="147"/>
      <c r="AD76" s="147"/>
      <c r="AE76" s="147"/>
      <c r="AF76" s="147"/>
      <c r="AG76" s="147"/>
      <c r="AH76" s="147"/>
    </row>
    <row r="77" spans="1:38" s="145" customFormat="1" x14ac:dyDescent="0.25">
      <c r="C77" s="142"/>
      <c r="D77" s="142"/>
      <c r="E77" s="183"/>
      <c r="G77" s="144"/>
      <c r="H77" s="142"/>
      <c r="I77" s="144"/>
      <c r="J77" s="144"/>
      <c r="K77" s="163"/>
      <c r="L77" s="142"/>
      <c r="M77" s="142"/>
      <c r="N77" s="142"/>
      <c r="O77" s="142"/>
      <c r="P77" s="142"/>
      <c r="Q77" s="142"/>
      <c r="R77" s="142"/>
      <c r="S77" s="142"/>
      <c r="V77" s="146"/>
      <c r="W77" s="146"/>
      <c r="X77" s="146"/>
      <c r="Y77" s="146"/>
      <c r="Z77" s="147"/>
      <c r="AA77" s="147"/>
      <c r="AB77" s="147"/>
      <c r="AC77" s="147"/>
      <c r="AD77" s="147"/>
      <c r="AE77" s="147"/>
    </row>
    <row r="78" spans="1:38" s="145" customFormat="1" x14ac:dyDescent="0.25">
      <c r="C78" s="142"/>
      <c r="D78" s="142"/>
      <c r="E78" s="183"/>
      <c r="G78" s="144"/>
      <c r="H78" s="142"/>
      <c r="I78" s="144"/>
      <c r="J78" s="144"/>
      <c r="K78" s="163"/>
      <c r="L78" s="142"/>
      <c r="M78" s="142"/>
      <c r="N78" s="142"/>
      <c r="O78" s="142"/>
      <c r="P78" s="142"/>
      <c r="Q78" s="142"/>
      <c r="R78" s="142"/>
      <c r="S78" s="142"/>
      <c r="V78" s="146"/>
      <c r="W78" s="146"/>
      <c r="X78" s="146"/>
      <c r="Y78" s="146"/>
      <c r="Z78" s="147"/>
      <c r="AA78" s="147"/>
      <c r="AB78" s="147"/>
      <c r="AC78" s="147"/>
      <c r="AD78" s="147"/>
      <c r="AE78" s="147"/>
    </row>
    <row r="79" spans="1:38" s="145" customFormat="1" x14ac:dyDescent="0.25">
      <c r="C79" s="142"/>
      <c r="D79" s="142"/>
      <c r="E79" s="183"/>
      <c r="G79" s="144"/>
      <c r="H79" s="142"/>
      <c r="I79" s="144"/>
      <c r="J79" s="144"/>
      <c r="K79" s="163"/>
      <c r="L79" s="142"/>
      <c r="M79" s="142"/>
      <c r="N79" s="142"/>
      <c r="O79" s="142"/>
      <c r="P79" s="142"/>
      <c r="Q79" s="142"/>
      <c r="R79" s="142"/>
      <c r="S79" s="142"/>
      <c r="V79" s="146"/>
      <c r="W79" s="146"/>
      <c r="X79" s="146"/>
      <c r="Y79" s="146"/>
      <c r="Z79" s="147"/>
      <c r="AA79" s="147"/>
      <c r="AB79" s="147"/>
      <c r="AC79" s="147"/>
      <c r="AD79" s="147"/>
      <c r="AE79" s="147"/>
    </row>
    <row r="80" spans="1:38" x14ac:dyDescent="0.25">
      <c r="A80" s="145"/>
      <c r="B80" s="145"/>
      <c r="C80" s="142"/>
      <c r="D80" s="142"/>
      <c r="E80" s="183"/>
      <c r="F80" s="145"/>
      <c r="G80" s="144"/>
      <c r="H80" s="142"/>
      <c r="I80" s="144"/>
      <c r="J80" s="144"/>
      <c r="K80" s="163"/>
      <c r="L80" s="142"/>
    </row>
    <row r="81" spans="2:8" x14ac:dyDescent="0.25">
      <c r="C81" s="142"/>
      <c r="D81" s="142"/>
      <c r="E81" s="183"/>
      <c r="F81" s="145"/>
      <c r="H81" s="142"/>
    </row>
    <row r="82" spans="2:8" x14ac:dyDescent="0.25">
      <c r="C82" s="142"/>
      <c r="D82" s="142"/>
      <c r="E82" s="183"/>
      <c r="F82" s="145"/>
      <c r="H82" s="142"/>
    </row>
    <row r="83" spans="2:8" x14ac:dyDescent="0.25">
      <c r="B83" s="187"/>
    </row>
    <row r="84" spans="2:8" x14ac:dyDescent="0.25">
      <c r="B84" s="187"/>
    </row>
    <row r="85" spans="2:8" x14ac:dyDescent="0.25">
      <c r="B85" s="187"/>
    </row>
  </sheetData>
  <pageMargins left="0.7" right="0.7" top="0.75" bottom="0.75" header="0.3" footer="0.3"/>
  <pageSetup paperSize="9"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activeCell="G4" sqref="G4"/>
    </sheetView>
  </sheetViews>
  <sheetFormatPr defaultRowHeight="14.4" x14ac:dyDescent="0.3"/>
  <sheetData>
    <row r="1" spans="1:1" ht="18" x14ac:dyDescent="0.35">
      <c r="A1" s="205" t="s">
        <v>141</v>
      </c>
    </row>
    <row r="2" spans="1:1" x14ac:dyDescent="0.3">
      <c r="A2" t="s">
        <v>46</v>
      </c>
    </row>
    <row r="3" spans="1:1" x14ac:dyDescent="0.3">
      <c r="A3" t="s">
        <v>41</v>
      </c>
    </row>
    <row r="4" spans="1:1" x14ac:dyDescent="0.3">
      <c r="A4" t="s">
        <v>42</v>
      </c>
    </row>
    <row r="5" spans="1:1" x14ac:dyDescent="0.3">
      <c r="A5" t="s">
        <v>108</v>
      </c>
    </row>
    <row r="6" spans="1:1" x14ac:dyDescent="0.3">
      <c r="A6" t="s">
        <v>43</v>
      </c>
    </row>
    <row r="7" spans="1:1" x14ac:dyDescent="0.3">
      <c r="A7" t="s">
        <v>44</v>
      </c>
    </row>
    <row r="8" spans="1:1" x14ac:dyDescent="0.3">
      <c r="A8" t="s">
        <v>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opLeftCell="A7" workbookViewId="0">
      <selection activeCell="B36" sqref="B36"/>
    </sheetView>
  </sheetViews>
  <sheetFormatPr defaultRowHeight="14.4" x14ac:dyDescent="0.3"/>
  <cols>
    <col min="1" max="1" width="21.33203125" customWidth="1"/>
  </cols>
  <sheetData>
    <row r="1" spans="1:7" x14ac:dyDescent="0.3">
      <c r="A1" t="s">
        <v>171</v>
      </c>
    </row>
    <row r="3" spans="1:7" x14ac:dyDescent="0.3">
      <c r="A3" t="s">
        <v>172</v>
      </c>
      <c r="B3">
        <v>100</v>
      </c>
      <c r="C3" t="s">
        <v>173</v>
      </c>
    </row>
    <row r="4" spans="1:7" x14ac:dyDescent="0.3">
      <c r="A4" t="s">
        <v>174</v>
      </c>
      <c r="B4">
        <v>80</v>
      </c>
      <c r="C4" t="s">
        <v>175</v>
      </c>
    </row>
    <row r="5" spans="1:7" x14ac:dyDescent="0.3">
      <c r="A5" t="s">
        <v>176</v>
      </c>
      <c r="B5">
        <f>44*23.6</f>
        <v>1038.4000000000001</v>
      </c>
      <c r="C5" t="s">
        <v>1</v>
      </c>
    </row>
    <row r="6" spans="1:7" x14ac:dyDescent="0.3">
      <c r="A6" t="s">
        <v>177</v>
      </c>
      <c r="B6">
        <f>B3/B4*B5</f>
        <v>1298</v>
      </c>
      <c r="C6" t="s">
        <v>178</v>
      </c>
    </row>
    <row r="7" spans="1:7" x14ac:dyDescent="0.3">
      <c r="A7" t="s">
        <v>179</v>
      </c>
      <c r="B7">
        <v>5</v>
      </c>
    </row>
    <row r="8" spans="1:7" x14ac:dyDescent="0.3">
      <c r="A8" t="s">
        <v>180</v>
      </c>
      <c r="B8">
        <v>200</v>
      </c>
      <c r="G8">
        <f>SUM(B8:F8)</f>
        <v>200</v>
      </c>
    </row>
    <row r="9" spans="1:7" x14ac:dyDescent="0.3">
      <c r="A9" t="s">
        <v>181</v>
      </c>
      <c r="B9">
        <f>B8*B7</f>
        <v>1000</v>
      </c>
    </row>
    <row r="10" spans="1:7" x14ac:dyDescent="0.3">
      <c r="A10" t="s">
        <v>182</v>
      </c>
      <c r="B10">
        <f>B9*B6/1000</f>
        <v>1298</v>
      </c>
      <c r="C10" t="s">
        <v>53</v>
      </c>
    </row>
    <row r="12" spans="1:7" x14ac:dyDescent="0.3">
      <c r="A12" t="s">
        <v>183</v>
      </c>
      <c r="B12">
        <f>180*5*200/1000*16</f>
        <v>2880</v>
      </c>
      <c r="C12" t="s">
        <v>53</v>
      </c>
    </row>
    <row r="14" spans="1:7" x14ac:dyDescent="0.3">
      <c r="A14" t="s">
        <v>184</v>
      </c>
      <c r="B14">
        <f>200*0.5*10</f>
        <v>1000</v>
      </c>
      <c r="C14" t="s">
        <v>53</v>
      </c>
    </row>
    <row r="15" spans="1:7" x14ac:dyDescent="0.3">
      <c r="A15" t="s">
        <v>208</v>
      </c>
      <c r="B15">
        <v>4000</v>
      </c>
      <c r="C15" t="s">
        <v>53</v>
      </c>
    </row>
    <row r="16" spans="1:7" x14ac:dyDescent="0.3">
      <c r="A16" t="s">
        <v>185</v>
      </c>
      <c r="B16">
        <f>200*B17</f>
        <v>2000</v>
      </c>
    </row>
    <row r="17" spans="1:9" x14ac:dyDescent="0.3">
      <c r="A17" t="s">
        <v>186</v>
      </c>
      <c r="B17">
        <v>10</v>
      </c>
      <c r="C17" t="s">
        <v>187</v>
      </c>
    </row>
    <row r="19" spans="1:9" x14ac:dyDescent="0.3">
      <c r="A19" t="s">
        <v>157</v>
      </c>
      <c r="B19">
        <f>B16+B14+B12+B10+B15</f>
        <v>11178</v>
      </c>
      <c r="C19">
        <f>B19/300</f>
        <v>37.26</v>
      </c>
    </row>
    <row r="22" spans="1:9" x14ac:dyDescent="0.3">
      <c r="A22" t="s">
        <v>188</v>
      </c>
    </row>
    <row r="23" spans="1:9" x14ac:dyDescent="0.3">
      <c r="A23" t="s">
        <v>189</v>
      </c>
    </row>
    <row r="24" spans="1:9" x14ac:dyDescent="0.3">
      <c r="A24" t="s">
        <v>190</v>
      </c>
      <c r="B24">
        <v>130</v>
      </c>
      <c r="C24" t="s">
        <v>191</v>
      </c>
      <c r="D24" t="s">
        <v>192</v>
      </c>
    </row>
    <row r="25" spans="1:9" x14ac:dyDescent="0.3">
      <c r="A25" t="s">
        <v>193</v>
      </c>
      <c r="B25">
        <v>20</v>
      </c>
    </row>
    <row r="26" spans="1:9" x14ac:dyDescent="0.3">
      <c r="A26" t="s">
        <v>157</v>
      </c>
      <c r="B26">
        <f>SUM(B24:B25)</f>
        <v>150</v>
      </c>
      <c r="C26">
        <v>10</v>
      </c>
      <c r="D26" t="s">
        <v>194</v>
      </c>
      <c r="E26">
        <f>B26*C26</f>
        <v>1500</v>
      </c>
      <c r="F26">
        <v>8</v>
      </c>
      <c r="G26">
        <f>F26*E26</f>
        <v>12000</v>
      </c>
      <c r="H26">
        <f>G26/300</f>
        <v>40</v>
      </c>
      <c r="I26" t="s">
        <v>48</v>
      </c>
    </row>
    <row r="27" spans="1:9" x14ac:dyDescent="0.3">
      <c r="H27">
        <f>E26/300</f>
        <v>5</v>
      </c>
      <c r="I27" t="s">
        <v>194</v>
      </c>
    </row>
    <row r="30" spans="1:9" x14ac:dyDescent="0.3">
      <c r="A30" t="s">
        <v>195</v>
      </c>
      <c r="B30">
        <v>180</v>
      </c>
      <c r="C30">
        <v>3</v>
      </c>
      <c r="D30">
        <f>B30*C30</f>
        <v>540</v>
      </c>
      <c r="E30" t="s">
        <v>191</v>
      </c>
    </row>
    <row r="31" spans="1:9" x14ac:dyDescent="0.3">
      <c r="A31" t="s">
        <v>176</v>
      </c>
      <c r="D31">
        <f>B26</f>
        <v>150</v>
      </c>
      <c r="E31">
        <f>D31/D32</f>
        <v>0.21739130434782608</v>
      </c>
      <c r="F31" s="224">
        <v>0.22</v>
      </c>
    </row>
    <row r="32" spans="1:9" x14ac:dyDescent="0.3">
      <c r="D32">
        <f>SUM(D30:D31)</f>
        <v>690</v>
      </c>
    </row>
    <row r="35" spans="1:13" x14ac:dyDescent="0.3">
      <c r="A35" t="s">
        <v>196</v>
      </c>
    </row>
    <row r="36" spans="1:13" x14ac:dyDescent="0.3">
      <c r="A36" t="s">
        <v>198</v>
      </c>
      <c r="B36">
        <v>40</v>
      </c>
      <c r="C36" t="s">
        <v>197</v>
      </c>
      <c r="D36">
        <v>150</v>
      </c>
      <c r="E36">
        <f>B36*D36</f>
        <v>6000</v>
      </c>
      <c r="I36" t="s">
        <v>209</v>
      </c>
    </row>
    <row r="37" spans="1:13" x14ac:dyDescent="0.3">
      <c r="A37" t="s">
        <v>199</v>
      </c>
      <c r="B37">
        <v>80</v>
      </c>
      <c r="C37" t="s">
        <v>197</v>
      </c>
      <c r="D37">
        <v>150</v>
      </c>
      <c r="E37">
        <f>B37*D37</f>
        <v>12000</v>
      </c>
      <c r="F37">
        <f>E37/300</f>
        <v>40</v>
      </c>
      <c r="I37">
        <v>500000</v>
      </c>
      <c r="J37" s="224">
        <v>0.2</v>
      </c>
      <c r="K37">
        <f>I37*J37</f>
        <v>100000</v>
      </c>
      <c r="L37" s="224">
        <v>0.125</v>
      </c>
      <c r="M37">
        <f>K37*L37</f>
        <v>12500</v>
      </c>
    </row>
    <row r="38" spans="1:13" x14ac:dyDescent="0.3">
      <c r="E38">
        <f t="shared" ref="E38:E39" si="0">B38*D38</f>
        <v>0</v>
      </c>
    </row>
    <row r="39" spans="1:13" x14ac:dyDescent="0.3">
      <c r="A39" t="s">
        <v>200</v>
      </c>
      <c r="B39">
        <v>1500</v>
      </c>
      <c r="C39" t="s">
        <v>201</v>
      </c>
      <c r="D39">
        <v>4</v>
      </c>
      <c r="E39">
        <f t="shared" si="0"/>
        <v>6000</v>
      </c>
      <c r="F39" t="s">
        <v>48</v>
      </c>
    </row>
    <row r="41" spans="1:13" x14ac:dyDescent="0.3">
      <c r="A41" t="s">
        <v>202</v>
      </c>
      <c r="B41">
        <v>300</v>
      </c>
      <c r="C41">
        <v>18</v>
      </c>
      <c r="E41">
        <f>B41*C41</f>
        <v>5400</v>
      </c>
    </row>
    <row r="42" spans="1:13" x14ac:dyDescent="0.3">
      <c r="E42">
        <f>SUM(E39:E41)</f>
        <v>11400</v>
      </c>
      <c r="F42">
        <f>E42/300</f>
        <v>38</v>
      </c>
    </row>
    <row r="44" spans="1:13" x14ac:dyDescent="0.3">
      <c r="A44" t="s">
        <v>206</v>
      </c>
      <c r="B44">
        <v>400000</v>
      </c>
      <c r="C44" s="224">
        <v>2.5000000000000001E-2</v>
      </c>
      <c r="E44">
        <f>B44*C44</f>
        <v>10000</v>
      </c>
    </row>
    <row r="46" spans="1:13" x14ac:dyDescent="0.3">
      <c r="A46" t="s">
        <v>207</v>
      </c>
      <c r="E46">
        <f>E36+E44</f>
        <v>16000</v>
      </c>
      <c r="F46">
        <f>E46/300</f>
        <v>53.333333333333336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Z44"/>
  <sheetViews>
    <sheetView topLeftCell="D1" workbookViewId="0">
      <selection activeCell="P32" sqref="P32"/>
    </sheetView>
  </sheetViews>
  <sheetFormatPr defaultRowHeight="14.4" x14ac:dyDescent="0.3"/>
  <cols>
    <col min="4" max="4" width="26" customWidth="1"/>
    <col min="8" max="8" width="9.5546875" bestFit="1" customWidth="1"/>
    <col min="10" max="10" width="22.6640625" customWidth="1"/>
    <col min="13" max="13" width="17" customWidth="1"/>
    <col min="15" max="15" width="10" customWidth="1"/>
  </cols>
  <sheetData>
    <row r="2" spans="1:26" ht="42" x14ac:dyDescent="0.3">
      <c r="A2" t="s">
        <v>6</v>
      </c>
      <c r="B2">
        <v>1</v>
      </c>
      <c r="D2" s="159" t="s">
        <v>98</v>
      </c>
      <c r="E2" s="160" t="s">
        <v>6</v>
      </c>
      <c r="F2" s="161" t="s">
        <v>121</v>
      </c>
      <c r="G2" s="161" t="s">
        <v>34</v>
      </c>
      <c r="H2" s="161" t="s">
        <v>64</v>
      </c>
      <c r="I2" s="161" t="s">
        <v>122</v>
      </c>
      <c r="J2" s="162" t="s">
        <v>123</v>
      </c>
      <c r="K2" s="162" t="s">
        <v>85</v>
      </c>
      <c r="M2" t="s">
        <v>148</v>
      </c>
      <c r="N2">
        <v>300</v>
      </c>
    </row>
    <row r="3" spans="1:26" x14ac:dyDescent="0.3">
      <c r="A3" t="s">
        <v>6</v>
      </c>
      <c r="B3">
        <v>2</v>
      </c>
      <c r="D3" s="125" t="s">
        <v>119</v>
      </c>
      <c r="E3" s="41">
        <v>1</v>
      </c>
      <c r="F3" s="197" t="e">
        <f>+#REF!</f>
        <v>#REF!</v>
      </c>
      <c r="G3" s="36" t="s">
        <v>49</v>
      </c>
      <c r="H3" s="51">
        <v>1268</v>
      </c>
      <c r="I3" s="132" t="e">
        <f>F3*H3</f>
        <v>#REF!</v>
      </c>
      <c r="J3" s="137" t="e">
        <f t="shared" ref="J3:J13" si="0">I3/$B$5</f>
        <v>#REF!</v>
      </c>
      <c r="K3" s="132" t="e">
        <f t="shared" ref="K3:K13" si="1">I3*$B$4</f>
        <v>#REF!</v>
      </c>
    </row>
    <row r="4" spans="1:26" x14ac:dyDescent="0.3">
      <c r="D4" s="125" t="s">
        <v>124</v>
      </c>
      <c r="E4" s="41">
        <v>2</v>
      </c>
      <c r="F4" s="197" t="e">
        <f>+#REF!</f>
        <v>#REF!</v>
      </c>
      <c r="G4" s="36" t="s">
        <v>49</v>
      </c>
      <c r="H4" s="51">
        <v>536</v>
      </c>
      <c r="I4" s="132" t="e">
        <f>F4*H4</f>
        <v>#REF!</v>
      </c>
      <c r="J4" s="137" t="e">
        <f t="shared" si="0"/>
        <v>#REF!</v>
      </c>
      <c r="K4" s="132" t="e">
        <f t="shared" si="1"/>
        <v>#REF!</v>
      </c>
    </row>
    <row r="5" spans="1:26" x14ac:dyDescent="0.3">
      <c r="D5" s="125" t="s">
        <v>125</v>
      </c>
      <c r="E5" s="41">
        <v>3</v>
      </c>
      <c r="F5" s="38">
        <v>0</v>
      </c>
      <c r="G5" s="40" t="s">
        <v>49</v>
      </c>
      <c r="H5" s="51">
        <v>0</v>
      </c>
      <c r="I5" s="132">
        <f t="shared" ref="I5:I13" si="2">F5*H5</f>
        <v>0</v>
      </c>
      <c r="J5" s="137" t="e">
        <f t="shared" si="0"/>
        <v>#DIV/0!</v>
      </c>
      <c r="K5" s="132">
        <f t="shared" si="1"/>
        <v>0</v>
      </c>
    </row>
    <row r="6" spans="1:26" x14ac:dyDescent="0.3">
      <c r="D6" s="125" t="s">
        <v>126</v>
      </c>
      <c r="E6" s="41" t="s">
        <v>136</v>
      </c>
      <c r="F6" s="38">
        <v>5</v>
      </c>
      <c r="G6" s="40" t="s">
        <v>50</v>
      </c>
      <c r="H6" s="51">
        <v>4</v>
      </c>
      <c r="I6" s="132">
        <f t="shared" si="2"/>
        <v>20</v>
      </c>
      <c r="J6" s="137" t="e">
        <f t="shared" si="0"/>
        <v>#DIV/0!</v>
      </c>
      <c r="K6" s="132">
        <f t="shared" si="1"/>
        <v>0</v>
      </c>
    </row>
    <row r="7" spans="1:26" x14ac:dyDescent="0.3">
      <c r="D7" s="125" t="s">
        <v>120</v>
      </c>
      <c r="E7" s="41"/>
      <c r="F7" s="38">
        <v>0.15</v>
      </c>
      <c r="G7" s="40" t="s">
        <v>49</v>
      </c>
      <c r="H7" s="51">
        <v>561</v>
      </c>
      <c r="I7" s="132">
        <f t="shared" si="2"/>
        <v>84.149999999999991</v>
      </c>
      <c r="J7" s="137" t="e">
        <f t="shared" si="0"/>
        <v>#DIV/0!</v>
      </c>
      <c r="K7" s="132">
        <f t="shared" si="1"/>
        <v>0</v>
      </c>
      <c r="O7" t="s">
        <v>152</v>
      </c>
      <c r="Q7" t="s">
        <v>151</v>
      </c>
      <c r="S7" t="s">
        <v>145</v>
      </c>
      <c r="T7" t="s">
        <v>146</v>
      </c>
      <c r="U7" t="s">
        <v>147</v>
      </c>
      <c r="V7" t="s">
        <v>149</v>
      </c>
      <c r="X7" t="s">
        <v>153</v>
      </c>
      <c r="Y7" t="s">
        <v>154</v>
      </c>
    </row>
    <row r="8" spans="1:26" x14ac:dyDescent="0.3">
      <c r="D8" s="125" t="s">
        <v>111</v>
      </c>
      <c r="E8" s="41"/>
      <c r="F8" s="37">
        <f>U10</f>
        <v>161.39999999999998</v>
      </c>
      <c r="G8" s="40" t="s">
        <v>132</v>
      </c>
      <c r="H8" s="51">
        <f>Y10</f>
        <v>1.0491945477075588</v>
      </c>
      <c r="I8" s="132">
        <f t="shared" si="2"/>
        <v>169.33999999999997</v>
      </c>
      <c r="J8" s="137" t="e">
        <f t="shared" si="0"/>
        <v>#DIV/0!</v>
      </c>
      <c r="K8" s="132">
        <f t="shared" si="1"/>
        <v>0</v>
      </c>
      <c r="M8" s="206" t="s">
        <v>142</v>
      </c>
      <c r="N8" s="207"/>
      <c r="O8" s="208">
        <v>8.5400000000000009</v>
      </c>
      <c r="P8" s="209">
        <v>1000</v>
      </c>
      <c r="Q8" s="210">
        <v>8540.0000000000018</v>
      </c>
      <c r="R8" s="211" t="s">
        <v>143</v>
      </c>
      <c r="V8" t="s">
        <v>150</v>
      </c>
      <c r="W8" t="s">
        <v>146</v>
      </c>
    </row>
    <row r="9" spans="1:26" x14ac:dyDescent="0.3">
      <c r="D9" s="125"/>
      <c r="E9" s="41"/>
      <c r="F9" s="37"/>
      <c r="G9" s="40"/>
      <c r="H9" s="51"/>
      <c r="I9" s="132"/>
      <c r="J9" s="137"/>
      <c r="K9" s="132"/>
      <c r="M9" s="206" t="s">
        <v>144</v>
      </c>
      <c r="N9" s="207"/>
      <c r="O9" s="208">
        <v>23.739999999999995</v>
      </c>
      <c r="P9" s="209">
        <v>2800</v>
      </c>
      <c r="Q9" s="210">
        <v>66471.999999999985</v>
      </c>
      <c r="R9" s="211" t="s">
        <v>143</v>
      </c>
      <c r="S9" s="212"/>
    </row>
    <row r="10" spans="1:26" x14ac:dyDescent="0.3">
      <c r="D10" s="125"/>
      <c r="E10" s="41"/>
      <c r="F10" s="37"/>
      <c r="G10" s="40"/>
      <c r="H10" s="51"/>
      <c r="I10" s="132"/>
      <c r="J10" s="137"/>
      <c r="K10" s="132"/>
      <c r="M10" s="206"/>
      <c r="N10" s="207"/>
      <c r="O10" s="213">
        <f>SUM(O8:O9)</f>
        <v>32.279999999999994</v>
      </c>
      <c r="P10" s="214"/>
      <c r="Q10" s="215">
        <f>SUM(Q8:Q9)</f>
        <v>75011.999999999985</v>
      </c>
      <c r="R10" s="216"/>
      <c r="S10" s="212">
        <v>1500</v>
      </c>
      <c r="T10">
        <f>O10*S10</f>
        <v>48419.999999999993</v>
      </c>
      <c r="U10">
        <f>T10/N2</f>
        <v>161.39999999999998</v>
      </c>
      <c r="V10">
        <v>750</v>
      </c>
      <c r="W10">
        <f>O10*V10</f>
        <v>24209.999999999996</v>
      </c>
      <c r="X10" s="212">
        <f>Q10-W10</f>
        <v>50801.999999999985</v>
      </c>
      <c r="Y10">
        <f>X10/T10</f>
        <v>1.0491945477075588</v>
      </c>
    </row>
    <row r="11" spans="1:26" x14ac:dyDescent="0.3">
      <c r="D11" s="125" t="s">
        <v>101</v>
      </c>
      <c r="E11" s="41"/>
      <c r="F11" s="37">
        <v>1</v>
      </c>
      <c r="G11" s="40" t="s">
        <v>48</v>
      </c>
      <c r="H11" s="51">
        <f>Y11</f>
        <v>102.66666666666667</v>
      </c>
      <c r="I11" s="132">
        <f t="shared" si="2"/>
        <v>102.66666666666667</v>
      </c>
      <c r="J11" s="137" t="e">
        <f t="shared" si="0"/>
        <v>#DIV/0!</v>
      </c>
      <c r="K11" s="132">
        <f t="shared" si="1"/>
        <v>0</v>
      </c>
      <c r="M11" t="s">
        <v>101</v>
      </c>
      <c r="N11" t="s">
        <v>155</v>
      </c>
      <c r="O11">
        <v>104</v>
      </c>
      <c r="P11">
        <v>250</v>
      </c>
      <c r="Q11">
        <f>O11*P11</f>
        <v>26000</v>
      </c>
      <c r="S11" t="s">
        <v>156</v>
      </c>
      <c r="T11">
        <v>6</v>
      </c>
      <c r="U11">
        <v>800</v>
      </c>
      <c r="V11">
        <f>T11*U11</f>
        <v>4800</v>
      </c>
      <c r="W11" t="s">
        <v>157</v>
      </c>
      <c r="X11">
        <f>Q11+V11</f>
        <v>30800</v>
      </c>
      <c r="Y11">
        <f>X11/N2</f>
        <v>102.66666666666667</v>
      </c>
      <c r="Z11" t="s">
        <v>158</v>
      </c>
    </row>
    <row r="12" spans="1:26" ht="28.2" x14ac:dyDescent="0.3">
      <c r="D12" s="125" t="s">
        <v>106</v>
      </c>
      <c r="E12" s="41"/>
      <c r="F12" s="37">
        <v>0</v>
      </c>
      <c r="G12" s="40" t="s">
        <v>48</v>
      </c>
      <c r="H12" s="51">
        <v>0</v>
      </c>
      <c r="I12" s="132">
        <f t="shared" si="2"/>
        <v>0</v>
      </c>
      <c r="J12" s="137" t="e">
        <f t="shared" si="0"/>
        <v>#DIV/0!</v>
      </c>
      <c r="K12" s="132">
        <f t="shared" si="1"/>
        <v>0</v>
      </c>
    </row>
    <row r="13" spans="1:26" x14ac:dyDescent="0.3">
      <c r="D13" s="125" t="s">
        <v>100</v>
      </c>
      <c r="E13" s="41"/>
      <c r="F13" s="37">
        <v>0</v>
      </c>
      <c r="G13" s="40" t="s">
        <v>133</v>
      </c>
      <c r="H13" s="51">
        <v>0</v>
      </c>
      <c r="I13" s="132">
        <f t="shared" si="2"/>
        <v>0</v>
      </c>
      <c r="J13" s="137" t="e">
        <f t="shared" si="0"/>
        <v>#DIV/0!</v>
      </c>
      <c r="K13" s="132">
        <f t="shared" si="1"/>
        <v>0</v>
      </c>
    </row>
    <row r="14" spans="1:26" x14ac:dyDescent="0.3">
      <c r="D14" s="63"/>
      <c r="E14" s="41"/>
      <c r="F14" s="37"/>
      <c r="G14" s="40"/>
      <c r="H14" s="51"/>
      <c r="I14" s="132"/>
      <c r="J14" s="137"/>
      <c r="K14" s="132"/>
    </row>
    <row r="15" spans="1:26" x14ac:dyDescent="0.3">
      <c r="D15" s="164" t="s">
        <v>86</v>
      </c>
      <c r="E15" s="165"/>
      <c r="F15" s="166"/>
      <c r="G15" s="167"/>
      <c r="H15" s="168"/>
      <c r="I15" s="52" t="e">
        <f>SUM(I3:I14)</f>
        <v>#REF!</v>
      </c>
      <c r="J15" s="52" t="e">
        <f>SUM(J3:J14)</f>
        <v>#REF!</v>
      </c>
      <c r="K15" s="52" t="e">
        <f>SUM(K3:K14)</f>
        <v>#REF!</v>
      </c>
    </row>
    <row r="16" spans="1:26" x14ac:dyDescent="0.3">
      <c r="D16" s="169"/>
      <c r="E16" s="122"/>
      <c r="F16" s="170"/>
      <c r="G16" s="149"/>
      <c r="H16" s="171"/>
      <c r="I16" s="172"/>
      <c r="J16" s="198"/>
      <c r="K16" s="142"/>
    </row>
    <row r="17" spans="4:11" ht="42" x14ac:dyDescent="0.3">
      <c r="D17" s="159" t="s">
        <v>99</v>
      </c>
      <c r="E17" s="160" t="s">
        <v>6</v>
      </c>
      <c r="F17" s="161" t="s">
        <v>121</v>
      </c>
      <c r="G17" s="161" t="s">
        <v>34</v>
      </c>
      <c r="H17" s="161" t="s">
        <v>64</v>
      </c>
      <c r="I17" s="161" t="s">
        <v>122</v>
      </c>
      <c r="J17" s="162" t="s">
        <v>123</v>
      </c>
      <c r="K17" s="162" t="s">
        <v>85</v>
      </c>
    </row>
    <row r="18" spans="4:11" x14ac:dyDescent="0.3">
      <c r="D18" s="63" t="s">
        <v>125</v>
      </c>
      <c r="E18" s="41"/>
      <c r="F18" s="38">
        <f>+F7</f>
        <v>0.15</v>
      </c>
      <c r="G18" s="36" t="s">
        <v>49</v>
      </c>
      <c r="H18" s="51">
        <v>0</v>
      </c>
      <c r="I18" s="132">
        <f>F18*H18</f>
        <v>0</v>
      </c>
      <c r="J18" s="137" t="e">
        <f t="shared" ref="J18:J44" si="3">I18/$B$5</f>
        <v>#DIV/0!</v>
      </c>
      <c r="K18" s="132">
        <f t="shared" ref="K18:K35" si="4">I18*$B$4</f>
        <v>0</v>
      </c>
    </row>
    <row r="19" spans="4:11" x14ac:dyDescent="0.3">
      <c r="D19" s="63" t="s">
        <v>102</v>
      </c>
      <c r="E19" s="41"/>
      <c r="F19" s="39">
        <v>0</v>
      </c>
      <c r="G19" s="36" t="s">
        <v>50</v>
      </c>
      <c r="H19" s="51">
        <v>0</v>
      </c>
      <c r="I19" s="132">
        <f t="shared" ref="I19:I30" si="5">F19*H19</f>
        <v>0</v>
      </c>
      <c r="J19" s="137" t="e">
        <f t="shared" si="3"/>
        <v>#DIV/0!</v>
      </c>
      <c r="K19" s="132">
        <f t="shared" si="4"/>
        <v>0</v>
      </c>
    </row>
    <row r="20" spans="4:11" x14ac:dyDescent="0.3">
      <c r="D20" s="63" t="s">
        <v>103</v>
      </c>
      <c r="E20" s="41"/>
      <c r="F20" s="39">
        <v>0</v>
      </c>
      <c r="G20" s="36" t="s">
        <v>50</v>
      </c>
      <c r="H20" s="51">
        <v>0</v>
      </c>
      <c r="I20" s="132">
        <f t="shared" si="5"/>
        <v>0</v>
      </c>
      <c r="J20" s="137" t="e">
        <f t="shared" si="3"/>
        <v>#DIV/0!</v>
      </c>
      <c r="K20" s="132">
        <f t="shared" si="4"/>
        <v>0</v>
      </c>
    </row>
    <row r="21" spans="4:11" x14ac:dyDescent="0.3">
      <c r="D21" s="63" t="s">
        <v>128</v>
      </c>
      <c r="E21" s="41"/>
      <c r="F21" s="39">
        <v>0</v>
      </c>
      <c r="G21" s="36" t="s">
        <v>50</v>
      </c>
      <c r="H21" s="51">
        <v>0</v>
      </c>
      <c r="I21" s="132">
        <f t="shared" si="5"/>
        <v>0</v>
      </c>
      <c r="J21" s="137" t="e">
        <f t="shared" si="3"/>
        <v>#DIV/0!</v>
      </c>
      <c r="K21" s="132">
        <f t="shared" si="4"/>
        <v>0</v>
      </c>
    </row>
    <row r="22" spans="4:11" x14ac:dyDescent="0.3">
      <c r="D22" s="63" t="s">
        <v>104</v>
      </c>
      <c r="E22" s="41"/>
      <c r="F22" s="39">
        <v>0</v>
      </c>
      <c r="G22" s="36" t="s">
        <v>50</v>
      </c>
      <c r="H22" s="51">
        <v>0</v>
      </c>
      <c r="I22" s="132">
        <f t="shared" si="5"/>
        <v>0</v>
      </c>
      <c r="J22" s="137" t="e">
        <f t="shared" si="3"/>
        <v>#DIV/0!</v>
      </c>
      <c r="K22" s="132">
        <f t="shared" si="4"/>
        <v>0</v>
      </c>
    </row>
    <row r="23" spans="4:11" x14ac:dyDescent="0.3">
      <c r="D23" s="63" t="s">
        <v>51</v>
      </c>
      <c r="E23" s="41"/>
      <c r="F23" s="39">
        <v>0</v>
      </c>
      <c r="G23" s="36" t="s">
        <v>50</v>
      </c>
      <c r="H23" s="51">
        <v>0</v>
      </c>
      <c r="I23" s="132">
        <f t="shared" si="5"/>
        <v>0</v>
      </c>
      <c r="J23" s="137" t="e">
        <f t="shared" si="3"/>
        <v>#DIV/0!</v>
      </c>
      <c r="K23" s="132">
        <f t="shared" si="4"/>
        <v>0</v>
      </c>
    </row>
    <row r="24" spans="4:11" x14ac:dyDescent="0.3">
      <c r="D24" s="63" t="s">
        <v>127</v>
      </c>
      <c r="E24" s="41"/>
      <c r="F24" s="38">
        <v>0</v>
      </c>
      <c r="G24" s="36" t="s">
        <v>49</v>
      </c>
      <c r="H24" s="51">
        <v>0</v>
      </c>
      <c r="I24" s="132">
        <f t="shared" si="5"/>
        <v>0</v>
      </c>
      <c r="J24" s="137" t="e">
        <f t="shared" si="3"/>
        <v>#DIV/0!</v>
      </c>
      <c r="K24" s="132">
        <f t="shared" si="4"/>
        <v>0</v>
      </c>
    </row>
    <row r="25" spans="4:11" x14ac:dyDescent="0.3">
      <c r="D25" s="63" t="s">
        <v>52</v>
      </c>
      <c r="E25" s="41"/>
      <c r="F25" s="39">
        <v>0</v>
      </c>
      <c r="G25" s="36" t="s">
        <v>53</v>
      </c>
      <c r="H25" s="51">
        <v>0</v>
      </c>
      <c r="I25" s="132">
        <f t="shared" si="5"/>
        <v>0</v>
      </c>
      <c r="J25" s="137" t="e">
        <f t="shared" si="3"/>
        <v>#DIV/0!</v>
      </c>
      <c r="K25" s="132">
        <f t="shared" si="4"/>
        <v>0</v>
      </c>
    </row>
    <row r="26" spans="4:11" x14ac:dyDescent="0.3">
      <c r="D26" s="63" t="s">
        <v>107</v>
      </c>
      <c r="E26" s="41"/>
      <c r="F26" s="39">
        <v>0</v>
      </c>
      <c r="G26" s="36" t="s">
        <v>48</v>
      </c>
      <c r="H26" s="51">
        <v>0</v>
      </c>
      <c r="I26" s="132">
        <f t="shared" si="5"/>
        <v>0</v>
      </c>
      <c r="J26" s="137" t="e">
        <f t="shared" si="3"/>
        <v>#DIV/0!</v>
      </c>
      <c r="K26" s="132">
        <f t="shared" si="4"/>
        <v>0</v>
      </c>
    </row>
    <row r="27" spans="4:11" x14ac:dyDescent="0.3">
      <c r="D27" s="63" t="s">
        <v>54</v>
      </c>
      <c r="E27" s="41"/>
      <c r="F27" s="38">
        <v>0</v>
      </c>
      <c r="G27" s="36" t="s">
        <v>48</v>
      </c>
      <c r="H27" s="51">
        <v>0</v>
      </c>
      <c r="I27" s="132">
        <f t="shared" si="5"/>
        <v>0</v>
      </c>
      <c r="J27" s="137" t="e">
        <f t="shared" si="3"/>
        <v>#DIV/0!</v>
      </c>
      <c r="K27" s="132">
        <f t="shared" si="4"/>
        <v>0</v>
      </c>
    </row>
    <row r="28" spans="4:11" ht="28.2" x14ac:dyDescent="0.3">
      <c r="D28" s="63" t="s">
        <v>84</v>
      </c>
      <c r="E28" s="41"/>
      <c r="F28" s="38">
        <v>0</v>
      </c>
      <c r="G28" s="36" t="s">
        <v>48</v>
      </c>
      <c r="H28" s="51">
        <v>0</v>
      </c>
      <c r="I28" s="132">
        <f t="shared" si="5"/>
        <v>0</v>
      </c>
      <c r="J28" s="137" t="e">
        <f t="shared" si="3"/>
        <v>#DIV/0!</v>
      </c>
      <c r="K28" s="132">
        <f t="shared" si="4"/>
        <v>0</v>
      </c>
    </row>
    <row r="29" spans="4:11" x14ac:dyDescent="0.3">
      <c r="D29" s="63" t="s">
        <v>134</v>
      </c>
      <c r="E29" s="41"/>
      <c r="F29" s="39">
        <v>0</v>
      </c>
      <c r="G29" s="36" t="s">
        <v>49</v>
      </c>
      <c r="H29" s="51">
        <v>0</v>
      </c>
      <c r="I29" s="132">
        <f t="shared" si="5"/>
        <v>0</v>
      </c>
      <c r="J29" s="137" t="e">
        <f t="shared" si="3"/>
        <v>#DIV/0!</v>
      </c>
      <c r="K29" s="132">
        <f t="shared" si="4"/>
        <v>0</v>
      </c>
    </row>
    <row r="30" spans="4:11" x14ac:dyDescent="0.3">
      <c r="D30" s="63" t="s">
        <v>65</v>
      </c>
      <c r="E30" s="41"/>
      <c r="F30" s="39">
        <v>0</v>
      </c>
      <c r="G30" s="36" t="s">
        <v>48</v>
      </c>
      <c r="H30" s="51">
        <v>0</v>
      </c>
      <c r="I30" s="132">
        <f t="shared" si="5"/>
        <v>0</v>
      </c>
      <c r="J30" s="137" t="e">
        <f t="shared" si="3"/>
        <v>#DIV/0!</v>
      </c>
      <c r="K30" s="132">
        <f t="shared" si="4"/>
        <v>0</v>
      </c>
    </row>
    <row r="31" spans="4:11" x14ac:dyDescent="0.3">
      <c r="D31" s="173"/>
      <c r="E31" s="174" t="s">
        <v>55</v>
      </c>
      <c r="F31" s="175"/>
      <c r="G31" s="174"/>
      <c r="H31" s="176"/>
      <c r="I31" s="52">
        <f>SUM(I18:I30)</f>
        <v>0</v>
      </c>
      <c r="J31" s="199" t="e">
        <f>I31/$B$5</f>
        <v>#DIV/0!</v>
      </c>
      <c r="K31" s="133">
        <f>I31*$B$4</f>
        <v>0</v>
      </c>
    </row>
    <row r="32" spans="4:11" ht="28.2" x14ac:dyDescent="0.3">
      <c r="D32" s="125" t="s">
        <v>97</v>
      </c>
      <c r="E32" s="122"/>
      <c r="F32" s="38">
        <v>0</v>
      </c>
      <c r="G32" s="123" t="s">
        <v>63</v>
      </c>
      <c r="H32" s="137">
        <f>Investeringskalkyl!$F$74</f>
        <v>11694.638905982907</v>
      </c>
      <c r="I32" s="132">
        <f>F32/100*H32</f>
        <v>0</v>
      </c>
      <c r="J32" s="137" t="e">
        <f t="shared" si="3"/>
        <v>#DIV/0!</v>
      </c>
      <c r="K32" s="132">
        <f t="shared" si="4"/>
        <v>0</v>
      </c>
    </row>
    <row r="33" spans="4:11" x14ac:dyDescent="0.3">
      <c r="D33" s="125" t="s">
        <v>56</v>
      </c>
      <c r="E33" s="177" t="s">
        <v>70</v>
      </c>
      <c r="F33" s="136" t="e">
        <f>($E$24+$E$33)/2</f>
        <v>#VALUE!</v>
      </c>
      <c r="G33" s="123" t="s">
        <v>48</v>
      </c>
      <c r="H33" s="135">
        <f>Investeringskalkyl!$B$23</f>
        <v>0.05</v>
      </c>
      <c r="I33" s="132" t="e">
        <f t="shared" ref="I33:I35" si="6">F33*H33</f>
        <v>#VALUE!</v>
      </c>
      <c r="J33" s="137" t="e">
        <f t="shared" si="3"/>
        <v>#VALUE!</v>
      </c>
      <c r="K33" s="132" t="e">
        <f t="shared" si="4"/>
        <v>#VALUE!</v>
      </c>
    </row>
    <row r="34" spans="4:11" x14ac:dyDescent="0.3">
      <c r="D34" s="125" t="s">
        <v>109</v>
      </c>
      <c r="E34" s="177" t="s">
        <v>70</v>
      </c>
      <c r="F34" s="136" t="e">
        <f>(($F$46-$F$33)+SUM(I38:I42))/2</f>
        <v>#VALUE!</v>
      </c>
      <c r="G34" s="123" t="s">
        <v>48</v>
      </c>
      <c r="H34" s="135">
        <f>Investeringskalkyl!$B$23</f>
        <v>0.05</v>
      </c>
      <c r="I34" s="132" t="e">
        <f t="shared" si="6"/>
        <v>#VALUE!</v>
      </c>
      <c r="J34" s="137" t="e">
        <f t="shared" si="3"/>
        <v>#VALUE!</v>
      </c>
      <c r="K34" s="132" t="e">
        <f t="shared" si="4"/>
        <v>#VALUE!</v>
      </c>
    </row>
    <row r="35" spans="4:11" x14ac:dyDescent="0.3">
      <c r="D35" s="63"/>
      <c r="E35" s="47"/>
      <c r="F35" s="39"/>
      <c r="G35" s="40"/>
      <c r="H35" s="82"/>
      <c r="I35" s="132">
        <f t="shared" si="6"/>
        <v>0</v>
      </c>
      <c r="J35" s="137" t="e">
        <f t="shared" si="3"/>
        <v>#DIV/0!</v>
      </c>
      <c r="K35" s="132">
        <f t="shared" si="4"/>
        <v>0</v>
      </c>
    </row>
    <row r="36" spans="4:11" x14ac:dyDescent="0.3">
      <c r="D36" s="178"/>
      <c r="E36" s="174" t="s">
        <v>57</v>
      </c>
      <c r="F36" s="179" t="s">
        <v>47</v>
      </c>
      <c r="G36" s="174"/>
      <c r="H36" s="176" t="s">
        <v>47</v>
      </c>
      <c r="I36" s="52" t="e">
        <f>SUM(I32:I35)</f>
        <v>#VALUE!</v>
      </c>
      <c r="J36" s="199" t="e">
        <f>I36/$B$5</f>
        <v>#VALUE!</v>
      </c>
      <c r="K36" s="133" t="e">
        <f>I36*$B$4</f>
        <v>#VALUE!</v>
      </c>
    </row>
    <row r="37" spans="4:11" x14ac:dyDescent="0.3">
      <c r="D37" s="125" t="s">
        <v>58</v>
      </c>
      <c r="E37" s="177" t="s">
        <v>70</v>
      </c>
      <c r="F37" s="126">
        <f>IF(Investeringskalkyl!$C$14="tackor",1,0)</f>
        <v>1</v>
      </c>
      <c r="G37" s="124" t="s">
        <v>48</v>
      </c>
      <c r="H37" s="137">
        <f>Investeringskalkyl!$F$75*(Investeringskalkyl!$B$23/(1-(1+Investeringskalkyl!$B$23)^(-Investeringskalkyl!$B$26)))</f>
        <v>752.66558124459709</v>
      </c>
      <c r="I37" s="132">
        <f>F37*H37</f>
        <v>752.66558124459709</v>
      </c>
      <c r="J37" s="137" t="e">
        <f t="shared" si="3"/>
        <v>#DIV/0!</v>
      </c>
      <c r="K37" s="132">
        <f>I37*$B$4</f>
        <v>0</v>
      </c>
    </row>
    <row r="38" spans="4:11" ht="28.2" x14ac:dyDescent="0.3">
      <c r="D38" s="63" t="s">
        <v>67</v>
      </c>
      <c r="E38" s="41"/>
      <c r="F38" s="39">
        <v>0</v>
      </c>
      <c r="G38" s="36" t="s">
        <v>47</v>
      </c>
      <c r="H38" s="49">
        <v>0</v>
      </c>
      <c r="I38" s="132">
        <f t="shared" ref="I38:I42" si="7">F38*H38</f>
        <v>0</v>
      </c>
      <c r="J38" s="137" t="e">
        <f t="shared" si="3"/>
        <v>#DIV/0!</v>
      </c>
      <c r="K38" s="132">
        <f t="shared" ref="K38:K42" si="8">I38*$B$4</f>
        <v>0</v>
      </c>
    </row>
    <row r="39" spans="4:11" x14ac:dyDescent="0.3">
      <c r="D39" s="63" t="s">
        <v>68</v>
      </c>
      <c r="E39" s="48"/>
      <c r="F39" s="39">
        <v>0</v>
      </c>
      <c r="G39" s="36"/>
      <c r="H39" s="50">
        <v>0</v>
      </c>
      <c r="I39" s="132">
        <f t="shared" si="7"/>
        <v>0</v>
      </c>
      <c r="J39" s="137" t="e">
        <f t="shared" si="3"/>
        <v>#DIV/0!</v>
      </c>
      <c r="K39" s="132">
        <f t="shared" si="8"/>
        <v>0</v>
      </c>
    </row>
    <row r="40" spans="4:11" x14ac:dyDescent="0.3">
      <c r="D40" s="63" t="s">
        <v>62</v>
      </c>
      <c r="E40" s="41"/>
      <c r="F40" s="39">
        <v>0</v>
      </c>
      <c r="G40" s="36" t="s">
        <v>59</v>
      </c>
      <c r="H40" s="51">
        <v>220</v>
      </c>
      <c r="I40" s="132">
        <f t="shared" si="7"/>
        <v>0</v>
      </c>
      <c r="J40" s="137" t="e">
        <f t="shared" si="3"/>
        <v>#DIV/0!</v>
      </c>
      <c r="K40" s="132">
        <f t="shared" si="8"/>
        <v>0</v>
      </c>
    </row>
    <row r="41" spans="4:11" x14ac:dyDescent="0.3">
      <c r="D41" s="63" t="s">
        <v>105</v>
      </c>
      <c r="E41" s="41"/>
      <c r="F41" s="39">
        <v>0</v>
      </c>
      <c r="G41" s="36" t="s">
        <v>59</v>
      </c>
      <c r="H41" s="51"/>
      <c r="I41" s="132">
        <f t="shared" si="7"/>
        <v>0</v>
      </c>
      <c r="J41" s="137" t="e">
        <f t="shared" si="3"/>
        <v>#DIV/0!</v>
      </c>
      <c r="K41" s="132">
        <f t="shared" si="8"/>
        <v>0</v>
      </c>
    </row>
    <row r="42" spans="4:11" x14ac:dyDescent="0.3">
      <c r="D42" s="63"/>
      <c r="E42" s="41"/>
      <c r="F42" s="39"/>
      <c r="G42" s="36"/>
      <c r="H42" s="51"/>
      <c r="I42" s="132">
        <f t="shared" si="7"/>
        <v>0</v>
      </c>
      <c r="J42" s="137" t="e">
        <f t="shared" si="3"/>
        <v>#DIV/0!</v>
      </c>
      <c r="K42" s="132">
        <f t="shared" si="8"/>
        <v>0</v>
      </c>
    </row>
    <row r="43" spans="4:11" x14ac:dyDescent="0.3">
      <c r="D43" s="180"/>
      <c r="E43" s="174" t="s">
        <v>60</v>
      </c>
      <c r="F43" s="175"/>
      <c r="G43" s="174"/>
      <c r="H43" s="181"/>
      <c r="I43" s="52">
        <f>SUM(I37:I42)</f>
        <v>752.66558124459709</v>
      </c>
      <c r="J43" s="199" t="e">
        <f>I43/$B$5</f>
        <v>#DIV/0!</v>
      </c>
      <c r="K43" s="133">
        <f>I43*$B$4</f>
        <v>0</v>
      </c>
    </row>
    <row r="44" spans="4:11" x14ac:dyDescent="0.3">
      <c r="D44" s="173" t="s">
        <v>71</v>
      </c>
      <c r="E44" s="174"/>
      <c r="F44" s="175"/>
      <c r="G44" s="174"/>
      <c r="H44" s="181"/>
      <c r="I44" s="52">
        <f>$F$46+$F$51+$F$58</f>
        <v>0</v>
      </c>
      <c r="J44" s="199" t="e">
        <f t="shared" si="3"/>
        <v>#DIV/0!</v>
      </c>
      <c r="K44" s="133">
        <f>I44*$B$4</f>
        <v>0</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6</vt:i4>
      </vt:variant>
      <vt:variant>
        <vt:lpstr>Namngivna områden</vt:lpstr>
      </vt:variant>
      <vt:variant>
        <vt:i4>2</vt:i4>
      </vt:variant>
    </vt:vector>
  </HeadingPairs>
  <TitlesOfParts>
    <vt:vector size="8" baseType="lpstr">
      <vt:lpstr>Intro</vt:lpstr>
      <vt:lpstr>Investeringskalkyl</vt:lpstr>
      <vt:lpstr>Driftkalkyl - Lamm</vt:lpstr>
      <vt:lpstr>Blad10</vt:lpstr>
      <vt:lpstr>Blad2</vt:lpstr>
      <vt:lpstr>Blad1</vt:lpstr>
      <vt:lpstr>Djurslag</vt:lpstr>
      <vt:lpstr>Välj_djurslag</vt:lpstr>
    </vt:vector>
  </TitlesOfParts>
  <Company>Jordbruksverket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Jonas Fjertorp</dc:creator>
  <cp:lastModifiedBy>Jonas Fjertorp</cp:lastModifiedBy>
  <cp:lastPrinted>2017-12-29T16:16:02Z</cp:lastPrinted>
  <dcterms:created xsi:type="dcterms:W3CDTF">2016-06-01T07:08:09Z</dcterms:created>
  <dcterms:modified xsi:type="dcterms:W3CDTF">2018-03-06T13:10:52Z</dcterms:modified>
</cp:coreProperties>
</file>