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Publicering\Dikor - Hushållningssällskapet\"/>
    </mc:Choice>
  </mc:AlternateContent>
  <bookViews>
    <workbookView xWindow="0" yWindow="0" windowWidth="19200" windowHeight="7152" tabRatio="800" activeTab="2"/>
  </bookViews>
  <sheets>
    <sheet name="Intro" sheetId="9" r:id="rId1"/>
    <sheet name="Investeringskalkyl" sheetId="1" r:id="rId2"/>
    <sheet name="Driftkalkyl - Dikor" sheetId="6" r:id="rId3"/>
    <sheet name="Driftkalkyl - Smågrisar" sheetId="11" state="hidden" r:id="rId4"/>
    <sheet name="Driftkalkyl - Slaktgrisar" sheetId="3" state="hidden" r:id="rId5"/>
    <sheet name="Driftkalkyl - Lamm" sheetId="5" state="hidden" r:id="rId6"/>
    <sheet name="Driftkalkyl - Slaktungnöt" sheetId="7" state="hidden" r:id="rId7"/>
    <sheet name="Driftkalkyl - Mjölkkor" sheetId="4" state="hidden" r:id="rId8"/>
    <sheet name="Blad10" sheetId="10" state="hidden" r:id="rId9"/>
  </sheets>
  <definedNames>
    <definedName name="blue_a2">#REF!</definedName>
    <definedName name="Djurslag">Blad10!$A$3:$A$8</definedName>
    <definedName name="pristyp">#REF!</definedName>
    <definedName name="prodstorlek">#REF!</definedName>
    <definedName name="stodomrade">#REF!</definedName>
    <definedName name="_xlnm.Print_Area" localSheetId="3">'Driftkalkyl - Smågrisar'!$I$1:$U$75</definedName>
    <definedName name="Välj_djurslag">Blad10!$A$2:$A$8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E39" i="1"/>
  <c r="F56" i="1" l="1"/>
  <c r="E52" i="1"/>
  <c r="E48" i="1" l="1"/>
  <c r="E44" i="1"/>
  <c r="E41" i="1"/>
  <c r="E38" i="1"/>
  <c r="E40" i="1"/>
  <c r="E34" i="1"/>
  <c r="F55" i="1" l="1"/>
  <c r="B14" i="1" l="1"/>
  <c r="C41" i="6" l="1"/>
  <c r="L41" i="6"/>
  <c r="N48" i="6" l="1"/>
  <c r="N47" i="6"/>
  <c r="N41" i="6"/>
  <c r="O60" i="6" l="1"/>
  <c r="O61" i="6"/>
  <c r="N61" i="6"/>
  <c r="N60" i="6"/>
  <c r="E61" i="6"/>
  <c r="E60" i="6"/>
  <c r="E49" i="1" l="1"/>
  <c r="E45" i="1"/>
  <c r="F44" i="1" l="1"/>
  <c r="B16" i="1" l="1"/>
  <c r="F24" i="6"/>
  <c r="E19" i="6"/>
  <c r="E21" i="6"/>
  <c r="E20" i="6"/>
  <c r="F39" i="1"/>
  <c r="F38" i="1"/>
  <c r="F40" i="1"/>
  <c r="F52" i="1"/>
  <c r="O59" i="6" l="1"/>
  <c r="F53" i="6"/>
  <c r="O53" i="6"/>
  <c r="G53" i="6" l="1"/>
  <c r="F59" i="6"/>
  <c r="G59" i="6" s="1"/>
  <c r="C21" i="6" l="1"/>
  <c r="N43" i="6" l="1"/>
  <c r="N26" i="6" l="1"/>
  <c r="O25" i="6"/>
  <c r="N38" i="6"/>
  <c r="B15" i="1" l="1"/>
  <c r="B18" i="1" s="1"/>
  <c r="B6" i="6"/>
  <c r="N63" i="6"/>
  <c r="N62" i="6"/>
  <c r="O41" i="6"/>
  <c r="O42" i="6"/>
  <c r="O43" i="6"/>
  <c r="O44" i="6"/>
  <c r="O46" i="6"/>
  <c r="O47" i="6"/>
  <c r="O48" i="6"/>
  <c r="N45" i="6"/>
  <c r="O45" i="6" s="1"/>
  <c r="O36" i="6"/>
  <c r="O37" i="6"/>
  <c r="N40" i="6"/>
  <c r="N39" i="6"/>
  <c r="L40" i="6"/>
  <c r="L39" i="6"/>
  <c r="O38" i="6"/>
  <c r="N35" i="6"/>
  <c r="N34" i="6"/>
  <c r="N33" i="6"/>
  <c r="N25" i="6"/>
  <c r="N24" i="6"/>
  <c r="L24" i="6"/>
  <c r="L25" i="6" s="1"/>
  <c r="N23" i="6"/>
  <c r="L23" i="6"/>
  <c r="N22" i="6"/>
  <c r="L22" i="6"/>
  <c r="L35" i="6" s="1"/>
  <c r="C22" i="6"/>
  <c r="C35" i="6" s="1"/>
  <c r="C34" i="6" s="1"/>
  <c r="O40" i="6" l="1"/>
  <c r="O39" i="6"/>
  <c r="L34" i="6"/>
  <c r="O34" i="6" s="1"/>
  <c r="O35" i="6"/>
  <c r="F46" i="6"/>
  <c r="G46" i="6" s="1"/>
  <c r="F45" i="6"/>
  <c r="G45" i="6" s="1"/>
  <c r="C40" i="6" l="1"/>
  <c r="F40" i="6" s="1"/>
  <c r="C39" i="6"/>
  <c r="G40" i="6" l="1"/>
  <c r="F34" i="6" l="1"/>
  <c r="F35" i="6"/>
  <c r="C19" i="6"/>
  <c r="C20" i="6"/>
  <c r="G35" i="6" l="1"/>
  <c r="G34" i="6"/>
  <c r="B7" i="7"/>
  <c r="E52" i="4" l="1"/>
  <c r="E51" i="4"/>
  <c r="N55" i="6"/>
  <c r="N54" i="6"/>
  <c r="E55" i="6"/>
  <c r="E54" i="6"/>
  <c r="E50" i="7"/>
  <c r="E49" i="7"/>
  <c r="E47" i="5"/>
  <c r="E46" i="5"/>
  <c r="E41" i="3"/>
  <c r="E40" i="3"/>
  <c r="E46" i="11"/>
  <c r="E45" i="11"/>
  <c r="N31" i="6"/>
  <c r="L54" i="6" s="1"/>
  <c r="E30" i="4"/>
  <c r="C61" i="1"/>
  <c r="C45" i="11"/>
  <c r="C18" i="11"/>
  <c r="C29" i="11"/>
  <c r="F24" i="11"/>
  <c r="F23" i="11"/>
  <c r="F22" i="11"/>
  <c r="F21" i="11"/>
  <c r="F20" i="11"/>
  <c r="F19" i="11"/>
  <c r="G19" i="11" s="1"/>
  <c r="F18" i="11"/>
  <c r="G18" i="11" s="1"/>
  <c r="O54" i="6" l="1"/>
  <c r="C55" i="4"/>
  <c r="C58" i="6"/>
  <c r="C53" i="7"/>
  <c r="C50" i="5"/>
  <c r="C44" i="3"/>
  <c r="C49" i="11"/>
  <c r="F34" i="4"/>
  <c r="F40" i="4"/>
  <c r="F35" i="4"/>
  <c r="F33" i="4"/>
  <c r="F30" i="4"/>
  <c r="F19" i="4"/>
  <c r="C19" i="4"/>
  <c r="C18" i="4"/>
  <c r="B4" i="4"/>
  <c r="F60" i="4"/>
  <c r="F59" i="4"/>
  <c r="F58" i="4"/>
  <c r="F57" i="4"/>
  <c r="F56" i="4"/>
  <c r="F53" i="4"/>
  <c r="F48" i="4"/>
  <c r="F47" i="4"/>
  <c r="F46" i="4"/>
  <c r="F45" i="4"/>
  <c r="F44" i="4"/>
  <c r="F43" i="4"/>
  <c r="F42" i="4"/>
  <c r="F41" i="4"/>
  <c r="F39" i="4"/>
  <c r="F38" i="4"/>
  <c r="F37" i="4"/>
  <c r="F36" i="4"/>
  <c r="F32" i="4"/>
  <c r="F31" i="4"/>
  <c r="F25" i="4"/>
  <c r="F24" i="4"/>
  <c r="F23" i="4"/>
  <c r="F22" i="4"/>
  <c r="F21" i="4"/>
  <c r="F17" i="4"/>
  <c r="C51" i="4" l="1"/>
  <c r="F51" i="4" s="1"/>
  <c r="G51" i="4" s="1"/>
  <c r="G35" i="4"/>
  <c r="G40" i="4"/>
  <c r="G53" i="4"/>
  <c r="G34" i="4"/>
  <c r="G33" i="4"/>
  <c r="F20" i="4"/>
  <c r="G20" i="4" s="1"/>
  <c r="F18" i="4"/>
  <c r="G18" i="4" s="1"/>
  <c r="G24" i="4"/>
  <c r="G44" i="4"/>
  <c r="B9" i="4"/>
  <c r="G32" i="4"/>
  <c r="G39" i="4"/>
  <c r="G48" i="4"/>
  <c r="G57" i="4"/>
  <c r="G17" i="4"/>
  <c r="G21" i="4"/>
  <c r="G25" i="4"/>
  <c r="G36" i="4"/>
  <c r="G41" i="4"/>
  <c r="G45" i="4"/>
  <c r="G58" i="4"/>
  <c r="G22" i="4"/>
  <c r="G30" i="4"/>
  <c r="G37" i="4"/>
  <c r="G42" i="4"/>
  <c r="G46" i="4"/>
  <c r="G59" i="4"/>
  <c r="G19" i="4"/>
  <c r="G23" i="4"/>
  <c r="G31" i="4"/>
  <c r="G38" i="4"/>
  <c r="G43" i="4"/>
  <c r="G47" i="4"/>
  <c r="G56" i="4"/>
  <c r="G60" i="4"/>
  <c r="F49" i="4"/>
  <c r="C52" i="4" s="1"/>
  <c r="F37" i="6"/>
  <c r="O26" i="6"/>
  <c r="F19" i="6"/>
  <c r="F36" i="6"/>
  <c r="B4" i="6"/>
  <c r="F64" i="6"/>
  <c r="F63" i="6"/>
  <c r="F62" i="6"/>
  <c r="G62" i="6" s="1"/>
  <c r="F61" i="6"/>
  <c r="G61" i="6" s="1"/>
  <c r="F60" i="6"/>
  <c r="F56" i="6"/>
  <c r="G56" i="6" s="1"/>
  <c r="O64" i="6"/>
  <c r="O63" i="6"/>
  <c r="O62" i="6"/>
  <c r="F50" i="6"/>
  <c r="G50" i="6" s="1"/>
  <c r="F49" i="6"/>
  <c r="G49" i="6" s="1"/>
  <c r="O56" i="6"/>
  <c r="F48" i="6"/>
  <c r="G48" i="6" s="1"/>
  <c r="F47" i="6"/>
  <c r="G47" i="6" s="1"/>
  <c r="F44" i="6"/>
  <c r="G44" i="6" s="1"/>
  <c r="F43" i="6"/>
  <c r="O50" i="6"/>
  <c r="F42" i="6"/>
  <c r="O49" i="6"/>
  <c r="F41" i="6"/>
  <c r="F39" i="6"/>
  <c r="F38" i="6"/>
  <c r="F33" i="6"/>
  <c r="O33" i="6"/>
  <c r="F32" i="6"/>
  <c r="N28" i="6"/>
  <c r="F26" i="6"/>
  <c r="G26" i="6" s="1"/>
  <c r="F25" i="6"/>
  <c r="G25" i="6" s="1"/>
  <c r="O24" i="6"/>
  <c r="G24" i="6"/>
  <c r="O23" i="6"/>
  <c r="F23" i="6"/>
  <c r="G23" i="6" s="1"/>
  <c r="O22" i="6"/>
  <c r="F22" i="6"/>
  <c r="G22" i="6" s="1"/>
  <c r="F21" i="6"/>
  <c r="G21" i="6" s="1"/>
  <c r="O65" i="6" l="1"/>
  <c r="H59" i="6"/>
  <c r="H53" i="6"/>
  <c r="H40" i="6"/>
  <c r="H46" i="6"/>
  <c r="H45" i="6"/>
  <c r="H35" i="6"/>
  <c r="H34" i="6"/>
  <c r="F27" i="4"/>
  <c r="B11" i="4" s="1"/>
  <c r="G27" i="4"/>
  <c r="G49" i="4"/>
  <c r="F52" i="4"/>
  <c r="H37" i="6"/>
  <c r="G37" i="6"/>
  <c r="F20" i="6"/>
  <c r="H44" i="6"/>
  <c r="G19" i="6"/>
  <c r="O31" i="6"/>
  <c r="O51" i="6" s="1"/>
  <c r="L55" i="6" s="1"/>
  <c r="H50" i="6"/>
  <c r="H32" i="6"/>
  <c r="H36" i="6"/>
  <c r="H39" i="6"/>
  <c r="H42" i="6"/>
  <c r="H21" i="6"/>
  <c r="H49" i="6"/>
  <c r="H60" i="6"/>
  <c r="H33" i="6"/>
  <c r="H38" i="6"/>
  <c r="H41" i="6"/>
  <c r="H43" i="6"/>
  <c r="H48" i="6"/>
  <c r="H63" i="6"/>
  <c r="H64" i="6"/>
  <c r="H62" i="6"/>
  <c r="G32" i="6"/>
  <c r="G33" i="6"/>
  <c r="G36" i="6"/>
  <c r="G38" i="6"/>
  <c r="G39" i="6"/>
  <c r="G41" i="6"/>
  <c r="G42" i="6"/>
  <c r="G43" i="6"/>
  <c r="G60" i="6"/>
  <c r="H61" i="6"/>
  <c r="G64" i="6"/>
  <c r="G63" i="6"/>
  <c r="H22" i="6"/>
  <c r="H23" i="6"/>
  <c r="H24" i="6"/>
  <c r="H25" i="6"/>
  <c r="H26" i="6"/>
  <c r="H47" i="6"/>
  <c r="H56" i="6"/>
  <c r="H19" i="6"/>
  <c r="F28" i="6" l="1"/>
  <c r="O55" i="6"/>
  <c r="G52" i="4"/>
  <c r="G20" i="6"/>
  <c r="G28" i="6" s="1"/>
  <c r="H20" i="6"/>
  <c r="H28" i="6" s="1"/>
  <c r="B11" i="6"/>
  <c r="O57" i="6" l="1"/>
  <c r="O66" i="6" s="1"/>
  <c r="O20" i="6" s="1"/>
  <c r="E31" i="6" s="1"/>
  <c r="C54" i="6" s="1"/>
  <c r="F54" i="6" s="1"/>
  <c r="O28" i="6" l="1"/>
  <c r="F31" i="6"/>
  <c r="G31" i="6" s="1"/>
  <c r="H54" i="6"/>
  <c r="G54" i="6"/>
  <c r="F51" i="6" l="1"/>
  <c r="B13" i="6" s="1"/>
  <c r="H31" i="6"/>
  <c r="H51" i="6" l="1"/>
  <c r="G51" i="6"/>
  <c r="C55" i="6"/>
  <c r="F55" i="6" s="1"/>
  <c r="H55" i="6" s="1"/>
  <c r="G55" i="6" l="1"/>
  <c r="F37" i="7"/>
  <c r="F36" i="7"/>
  <c r="C49" i="7"/>
  <c r="F49" i="7" s="1"/>
  <c r="F33" i="7"/>
  <c r="F23" i="7"/>
  <c r="B4" i="7"/>
  <c r="B8" i="7" s="1"/>
  <c r="F58" i="7"/>
  <c r="F57" i="7"/>
  <c r="F56" i="7"/>
  <c r="F55" i="7"/>
  <c r="F54" i="7"/>
  <c r="F51" i="7"/>
  <c r="F46" i="7"/>
  <c r="F45" i="7"/>
  <c r="F44" i="7"/>
  <c r="F43" i="7"/>
  <c r="F42" i="7"/>
  <c r="F41" i="7"/>
  <c r="F40" i="7"/>
  <c r="F39" i="7"/>
  <c r="F38" i="7"/>
  <c r="F35" i="7"/>
  <c r="F34" i="7"/>
  <c r="F32" i="7"/>
  <c r="F28" i="7"/>
  <c r="F27" i="7"/>
  <c r="F26" i="7"/>
  <c r="F25" i="7"/>
  <c r="F24" i="7"/>
  <c r="F22" i="7"/>
  <c r="F21" i="7"/>
  <c r="G37" i="7" l="1"/>
  <c r="G36" i="7"/>
  <c r="G33" i="7"/>
  <c r="G51" i="7"/>
  <c r="G41" i="7"/>
  <c r="G55" i="7"/>
  <c r="G38" i="7"/>
  <c r="G21" i="7"/>
  <c r="G25" i="7"/>
  <c r="G32" i="7"/>
  <c r="G39" i="7"/>
  <c r="G43" i="7"/>
  <c r="G57" i="7"/>
  <c r="G23" i="7"/>
  <c r="G35" i="7"/>
  <c r="G45" i="7"/>
  <c r="G24" i="7"/>
  <c r="G28" i="7"/>
  <c r="G42" i="7"/>
  <c r="G46" i="7"/>
  <c r="G22" i="7"/>
  <c r="G26" i="7"/>
  <c r="G34" i="7"/>
  <c r="G40" i="7"/>
  <c r="G44" i="7"/>
  <c r="G49" i="7"/>
  <c r="G54" i="7"/>
  <c r="G58" i="7"/>
  <c r="F47" i="7"/>
  <c r="C50" i="7" s="1"/>
  <c r="F29" i="7"/>
  <c r="G56" i="7" l="1"/>
  <c r="B13" i="7" s="1"/>
  <c r="G27" i="7"/>
  <c r="G29" i="7" s="1"/>
  <c r="B15" i="7"/>
  <c r="G47" i="7"/>
  <c r="F50" i="7"/>
  <c r="G50" i="7" l="1"/>
  <c r="B4" i="5" l="1"/>
  <c r="B4" i="3"/>
  <c r="F33" i="11"/>
  <c r="G33" i="11" l="1"/>
  <c r="F34" i="5"/>
  <c r="G34" i="5" s="1"/>
  <c r="C31" i="5"/>
  <c r="C19" i="5"/>
  <c r="C18" i="5"/>
  <c r="H34" i="5" l="1"/>
  <c r="F36" i="3" l="1"/>
  <c r="G36" i="3" s="1"/>
  <c r="C40" i="3" l="1"/>
  <c r="C46" i="5" l="1"/>
  <c r="B4" i="11"/>
  <c r="H33" i="11" l="1"/>
  <c r="H18" i="11"/>
  <c r="F37" i="5"/>
  <c r="H37" i="5" s="1"/>
  <c r="F20" i="5"/>
  <c r="G20" i="5" s="1"/>
  <c r="F21" i="5"/>
  <c r="H21" i="5" s="1"/>
  <c r="F19" i="5"/>
  <c r="G19" i="5" s="1"/>
  <c r="F18" i="5"/>
  <c r="F55" i="5"/>
  <c r="H55" i="5" s="1"/>
  <c r="F54" i="5"/>
  <c r="H54" i="5" s="1"/>
  <c r="F53" i="5"/>
  <c r="F52" i="5"/>
  <c r="G52" i="5" s="1"/>
  <c r="F51" i="5"/>
  <c r="H51" i="5" s="1"/>
  <c r="F48" i="5"/>
  <c r="H48" i="5" s="1"/>
  <c r="F46" i="5"/>
  <c r="F42" i="5"/>
  <c r="H42" i="5" s="1"/>
  <c r="F41" i="5"/>
  <c r="H41" i="5" s="1"/>
  <c r="F40" i="5"/>
  <c r="F39" i="5"/>
  <c r="G39" i="5" s="1"/>
  <c r="F38" i="5"/>
  <c r="H38" i="5" s="1"/>
  <c r="F36" i="5"/>
  <c r="G36" i="5" s="1"/>
  <c r="F35" i="5"/>
  <c r="H35" i="5" s="1"/>
  <c r="F33" i="5"/>
  <c r="H33" i="5" s="1"/>
  <c r="F32" i="5"/>
  <c r="G32" i="5" s="1"/>
  <c r="F31" i="5"/>
  <c r="F26" i="5"/>
  <c r="H26" i="5" s="1"/>
  <c r="F25" i="5"/>
  <c r="G25" i="5" s="1"/>
  <c r="F24" i="5"/>
  <c r="H24" i="5" s="1"/>
  <c r="F23" i="5"/>
  <c r="H23" i="5" s="1"/>
  <c r="F22" i="5"/>
  <c r="G22" i="5" s="1"/>
  <c r="G40" i="5" l="1"/>
  <c r="F43" i="5"/>
  <c r="H43" i="5" s="1"/>
  <c r="G37" i="5"/>
  <c r="G21" i="5"/>
  <c r="H31" i="5"/>
  <c r="F44" i="5"/>
  <c r="C47" i="5" s="1"/>
  <c r="H53" i="5"/>
  <c r="B10" i="5" s="1"/>
  <c r="H18" i="5"/>
  <c r="F28" i="5"/>
  <c r="H20" i="5"/>
  <c r="H22" i="5"/>
  <c r="G24" i="5"/>
  <c r="H39" i="5"/>
  <c r="H19" i="5"/>
  <c r="G51" i="5"/>
  <c r="H40" i="5"/>
  <c r="H25" i="5"/>
  <c r="H36" i="5"/>
  <c r="G35" i="5"/>
  <c r="G31" i="5"/>
  <c r="H52" i="5"/>
  <c r="G55" i="5"/>
  <c r="H32" i="5"/>
  <c r="G46" i="5"/>
  <c r="H46" i="5"/>
  <c r="G18" i="5"/>
  <c r="G33" i="5"/>
  <c r="G42" i="5"/>
  <c r="G54" i="5"/>
  <c r="G23" i="5"/>
  <c r="G26" i="5"/>
  <c r="G38" i="5"/>
  <c r="G41" i="5"/>
  <c r="G48" i="5"/>
  <c r="G53" i="5"/>
  <c r="F28" i="3"/>
  <c r="G28" i="3" s="1"/>
  <c r="G43" i="5" l="1"/>
  <c r="G44" i="5"/>
  <c r="H44" i="5"/>
  <c r="G28" i="5"/>
  <c r="H28" i="5"/>
  <c r="F47" i="5"/>
  <c r="B12" i="5"/>
  <c r="G47" i="5" l="1"/>
  <c r="H47" i="5"/>
  <c r="F40" i="3"/>
  <c r="G40" i="3" s="1"/>
  <c r="F21" i="3"/>
  <c r="G21" i="3" s="1"/>
  <c r="F18" i="3"/>
  <c r="G18" i="3" s="1"/>
  <c r="F49" i="3"/>
  <c r="G49" i="3" s="1"/>
  <c r="F48" i="3"/>
  <c r="G48" i="3" s="1"/>
  <c r="F47" i="3"/>
  <c r="F46" i="3"/>
  <c r="G46" i="3" s="1"/>
  <c r="F45" i="3"/>
  <c r="G45" i="3" s="1"/>
  <c r="F42" i="3"/>
  <c r="G42" i="3" s="1"/>
  <c r="F37" i="3"/>
  <c r="G37" i="3" s="1"/>
  <c r="F33" i="3"/>
  <c r="G33" i="3" s="1"/>
  <c r="F34" i="3"/>
  <c r="G34" i="3" s="1"/>
  <c r="F35" i="3"/>
  <c r="G35" i="3" s="1"/>
  <c r="F32" i="3"/>
  <c r="G32" i="3" s="1"/>
  <c r="F31" i="3"/>
  <c r="G31" i="3" s="1"/>
  <c r="F29" i="3"/>
  <c r="G29" i="3" s="1"/>
  <c r="F27" i="3"/>
  <c r="G27" i="3" s="1"/>
  <c r="F26" i="3"/>
  <c r="G26" i="3" s="1"/>
  <c r="F25" i="3"/>
  <c r="F20" i="3"/>
  <c r="F19" i="3"/>
  <c r="G19" i="3" s="1"/>
  <c r="F53" i="11"/>
  <c r="G53" i="11" s="1"/>
  <c r="F58" i="1"/>
  <c r="F61" i="1"/>
  <c r="F49" i="1"/>
  <c r="F48" i="1"/>
  <c r="F45" i="1"/>
  <c r="F41" i="1"/>
  <c r="F34" i="1"/>
  <c r="F35" i="1" s="1"/>
  <c r="B25" i="1"/>
  <c r="F50" i="11"/>
  <c r="G50" i="11" s="1"/>
  <c r="F51" i="11"/>
  <c r="G51" i="11" s="1"/>
  <c r="F52" i="11"/>
  <c r="H52" i="11" s="1"/>
  <c r="F54" i="11"/>
  <c r="G54" i="11" s="1"/>
  <c r="F47" i="11"/>
  <c r="H47" i="11" s="1"/>
  <c r="F42" i="1" l="1"/>
  <c r="F50" i="1"/>
  <c r="F53" i="1"/>
  <c r="F62" i="1"/>
  <c r="G47" i="3"/>
  <c r="B10" i="3" s="1"/>
  <c r="G20" i="3"/>
  <c r="G22" i="3" s="1"/>
  <c r="F22" i="3"/>
  <c r="G25" i="3"/>
  <c r="F30" i="3"/>
  <c r="G30" i="3" s="1"/>
  <c r="F46" i="1"/>
  <c r="H53" i="11"/>
  <c r="B10" i="11" s="1"/>
  <c r="G47" i="11"/>
  <c r="G52" i="11"/>
  <c r="H51" i="11"/>
  <c r="H54" i="11"/>
  <c r="H50" i="11"/>
  <c r="F30" i="11"/>
  <c r="H30" i="11" s="1"/>
  <c r="F31" i="11"/>
  <c r="H31" i="11" s="1"/>
  <c r="F32" i="11"/>
  <c r="F34" i="11"/>
  <c r="H34" i="11" s="1"/>
  <c r="F35" i="11"/>
  <c r="H35" i="11" s="1"/>
  <c r="F36" i="11"/>
  <c r="H36" i="11" s="1"/>
  <c r="F37" i="11"/>
  <c r="F38" i="11"/>
  <c r="H38" i="11" s="1"/>
  <c r="F39" i="11"/>
  <c r="H39" i="11" s="1"/>
  <c r="F40" i="11"/>
  <c r="F41" i="11"/>
  <c r="F42" i="11"/>
  <c r="F29" i="11"/>
  <c r="H19" i="11"/>
  <c r="F63" i="1" l="1"/>
  <c r="F43" i="11"/>
  <c r="C46" i="11" s="1"/>
  <c r="F38" i="3"/>
  <c r="C41" i="3" s="1"/>
  <c r="H41" i="11"/>
  <c r="G41" i="11"/>
  <c r="H37" i="11"/>
  <c r="G37" i="11"/>
  <c r="G29" i="11"/>
  <c r="H29" i="11"/>
  <c r="H40" i="11"/>
  <c r="G40" i="11"/>
  <c r="G32" i="11"/>
  <c r="H32" i="11"/>
  <c r="H42" i="11"/>
  <c r="G42" i="11"/>
  <c r="G43" i="11" l="1"/>
  <c r="H43" i="11"/>
  <c r="G38" i="3"/>
  <c r="F41" i="3"/>
  <c r="G41" i="3" s="1"/>
  <c r="B12" i="3"/>
  <c r="F64" i="1"/>
  <c r="F65" i="1" s="1"/>
  <c r="B20" i="1" s="1"/>
  <c r="F66" i="1"/>
  <c r="E52" i="6" s="1"/>
  <c r="F69" i="1"/>
  <c r="F45" i="11"/>
  <c r="F67" i="1" l="1"/>
  <c r="E58" i="6" s="1"/>
  <c r="E44" i="11"/>
  <c r="F44" i="11" s="1"/>
  <c r="E39" i="3"/>
  <c r="F39" i="3" s="1"/>
  <c r="E48" i="7"/>
  <c r="F48" i="7" s="1"/>
  <c r="E45" i="5"/>
  <c r="F45" i="5" s="1"/>
  <c r="E50" i="4"/>
  <c r="F50" i="4" s="1"/>
  <c r="H45" i="11"/>
  <c r="G45" i="11"/>
  <c r="G30" i="11"/>
  <c r="G31" i="11"/>
  <c r="G34" i="11"/>
  <c r="G35" i="11"/>
  <c r="G36" i="11"/>
  <c r="G38" i="11"/>
  <c r="G39" i="11"/>
  <c r="E49" i="11" l="1"/>
  <c r="F58" i="6"/>
  <c r="E55" i="4"/>
  <c r="F55" i="4" s="1"/>
  <c r="F61" i="4" s="1"/>
  <c r="G61" i="4" s="1"/>
  <c r="G50" i="4"/>
  <c r="F54" i="4"/>
  <c r="F52" i="6"/>
  <c r="G48" i="7"/>
  <c r="F52" i="7"/>
  <c r="E53" i="7"/>
  <c r="F53" i="7" s="1"/>
  <c r="E50" i="5"/>
  <c r="F50" i="5" s="1"/>
  <c r="F56" i="5" s="1"/>
  <c r="F26" i="11"/>
  <c r="E44" i="3"/>
  <c r="F44" i="3" s="1"/>
  <c r="F49" i="5"/>
  <c r="B13" i="5" s="1"/>
  <c r="H44" i="11"/>
  <c r="G44" i="11"/>
  <c r="F43" i="3"/>
  <c r="H20" i="11"/>
  <c r="G20" i="11"/>
  <c r="H22" i="11"/>
  <c r="G22" i="11"/>
  <c r="H24" i="11"/>
  <c r="G24" i="11"/>
  <c r="H23" i="11"/>
  <c r="G23" i="11"/>
  <c r="H21" i="11"/>
  <c r="G21" i="11"/>
  <c r="G55" i="4" l="1"/>
  <c r="G54" i="4"/>
  <c r="F62" i="4"/>
  <c r="G62" i="4" s="1"/>
  <c r="B12" i="4"/>
  <c r="B13" i="4"/>
  <c r="B7" i="4" s="1"/>
  <c r="G52" i="6"/>
  <c r="F57" i="6"/>
  <c r="H57" i="6" s="1"/>
  <c r="H52" i="6"/>
  <c r="F65" i="6"/>
  <c r="H58" i="6"/>
  <c r="G58" i="6"/>
  <c r="G53" i="7"/>
  <c r="F59" i="7"/>
  <c r="G59" i="7" s="1"/>
  <c r="G52" i="7"/>
  <c r="B16" i="7"/>
  <c r="F49" i="11"/>
  <c r="F55" i="11" s="1"/>
  <c r="G26" i="11"/>
  <c r="H26" i="11"/>
  <c r="G44" i="3"/>
  <c r="F50" i="3"/>
  <c r="G50" i="3" s="1"/>
  <c r="G43" i="3"/>
  <c r="H49" i="5"/>
  <c r="G49" i="5"/>
  <c r="G56" i="5"/>
  <c r="H56" i="5"/>
  <c r="G50" i="5"/>
  <c r="H50" i="5"/>
  <c r="G45" i="5"/>
  <c r="H45" i="5"/>
  <c r="F46" i="11"/>
  <c r="G46" i="11" s="1"/>
  <c r="G39" i="3"/>
  <c r="B12" i="11"/>
  <c r="B8" i="4" l="1"/>
  <c r="B15" i="6"/>
  <c r="F66" i="6"/>
  <c r="H66" i="6" s="1"/>
  <c r="B14" i="6"/>
  <c r="G57" i="6"/>
  <c r="F60" i="7"/>
  <c r="G60" i="7" s="1"/>
  <c r="B17" i="7"/>
  <c r="B11" i="7" s="1"/>
  <c r="B12" i="7" s="1"/>
  <c r="H65" i="6"/>
  <c r="G65" i="6"/>
  <c r="G55" i="11"/>
  <c r="H55" i="11"/>
  <c r="F51" i="3"/>
  <c r="G51" i="3" s="1"/>
  <c r="F57" i="5"/>
  <c r="B14" i="5"/>
  <c r="B8" i="5" s="1"/>
  <c r="H46" i="11"/>
  <c r="B13" i="3"/>
  <c r="B14" i="3"/>
  <c r="B8" i="3" s="1"/>
  <c r="F48" i="11"/>
  <c r="B9" i="6" l="1"/>
  <c r="B10" i="6" s="1"/>
  <c r="G66" i="6"/>
  <c r="G48" i="11"/>
  <c r="F56" i="11"/>
  <c r="H48" i="11"/>
  <c r="B9" i="5"/>
  <c r="G57" i="5"/>
  <c r="H57" i="5"/>
  <c r="B13" i="11"/>
  <c r="G56" i="11" l="1"/>
  <c r="H56" i="11"/>
  <c r="B9" i="3"/>
  <c r="H49" i="11"/>
  <c r="G49" i="11" l="1"/>
  <c r="B14" i="11" l="1"/>
  <c r="B8" i="11" s="1"/>
  <c r="B21" i="1" s="1"/>
  <c r="B22" i="1" s="1"/>
  <c r="B28" i="1" l="1"/>
  <c r="B27" i="1"/>
  <c r="B9" i="11" l="1"/>
</calcChain>
</file>

<file path=xl/comments1.xml><?xml version="1.0" encoding="utf-8"?>
<comments xmlns="http://schemas.openxmlformats.org/spreadsheetml/2006/main">
  <authors>
    <author>Jonas Fjertorp</author>
  </authors>
  <commentList>
    <comment ref="B11" authorId="0" shapeId="0">
      <text>
        <r>
          <rPr>
            <b/>
            <sz val="9"/>
            <color indexed="81"/>
            <rFont val="Tahoma"/>
            <family val="2"/>
          </rPr>
          <t>Jonas Fjertorp:</t>
        </r>
        <r>
          <rPr>
            <sz val="9"/>
            <color indexed="81"/>
            <rFont val="Tahoma"/>
            <family val="2"/>
          </rPr>
          <t xml:space="preserve">
Eventuellt ta bort arbete från kvigkalkylen och lägga in det arbetet i totalen. Inga andra TB3 poster är med i kvigkalkylen...</t>
        </r>
      </text>
    </comment>
    <comment ref="E62" authorId="0" shapeId="0">
      <text>
        <r>
          <rPr>
            <sz val="9"/>
            <color indexed="81"/>
            <rFont val="Tahoma"/>
            <family val="2"/>
          </rPr>
          <t>Minst 220 kr per timme (inkl. sociala avgifter)</t>
        </r>
      </text>
    </comment>
    <comment ref="N62" authorId="0" shapeId="0">
      <text>
        <r>
          <rPr>
            <sz val="9"/>
            <color indexed="81"/>
            <rFont val="Tahoma"/>
            <family val="2"/>
          </rPr>
          <t>Minst 220 kr per timme (inkl. sociala avgifter)</t>
        </r>
      </text>
    </comment>
  </commentList>
</comments>
</file>

<file path=xl/comments2.xml><?xml version="1.0" encoding="utf-8"?>
<comments xmlns="http://schemas.openxmlformats.org/spreadsheetml/2006/main">
  <authors>
    <author>Jonas Fjertorp</author>
  </authors>
  <commentList>
    <comment ref="E52" authorId="0" shapeId="0">
      <text>
        <r>
          <rPr>
            <sz val="9"/>
            <color indexed="81"/>
            <rFont val="Tahoma"/>
            <family val="2"/>
          </rPr>
          <t>Minst 220 kr per timme (inkl. sociala avgifter och försäkringar)</t>
        </r>
      </text>
    </comment>
  </commentList>
</comments>
</file>

<file path=xl/comments3.xml><?xml version="1.0" encoding="utf-8"?>
<comments xmlns="http://schemas.openxmlformats.org/spreadsheetml/2006/main">
  <authors>
    <author>Jonas Fjertorp</author>
  </authors>
  <commentList>
    <comment ref="E47" authorId="0" shapeId="0">
      <text>
        <r>
          <rPr>
            <sz val="9"/>
            <color indexed="81"/>
            <rFont val="Tahoma"/>
            <family val="2"/>
          </rPr>
          <t>Minst 220 kr per timme (inkl. sociala avgifter)</t>
        </r>
      </text>
    </comment>
  </commentList>
</comments>
</file>

<file path=xl/comments4.xml><?xml version="1.0" encoding="utf-8"?>
<comments xmlns="http://schemas.openxmlformats.org/spreadsheetml/2006/main">
  <authors>
    <author>Jonas Fjertorp</author>
  </authors>
  <commentList>
    <comment ref="E53" authorId="0" shapeId="0">
      <text>
        <r>
          <rPr>
            <sz val="9"/>
            <color indexed="81"/>
            <rFont val="Tahoma"/>
            <family val="2"/>
          </rPr>
          <t>Minst 220 kr per timme (inkl. sociala avgifter)</t>
        </r>
      </text>
    </comment>
  </commentList>
</comments>
</file>

<file path=xl/comments5.xml><?xml version="1.0" encoding="utf-8"?>
<comments xmlns="http://schemas.openxmlformats.org/spreadsheetml/2006/main">
  <authors>
    <author>Jonas Fjertorp</author>
  </authors>
  <commentList>
    <comment ref="E56" authorId="0" shapeId="0">
      <text>
        <r>
          <rPr>
            <sz val="9"/>
            <color indexed="81"/>
            <rFont val="Tahoma"/>
            <family val="2"/>
          </rPr>
          <t>Minst 220 kr per timme (inkl. sociala avgifter)</t>
        </r>
      </text>
    </comment>
  </commentList>
</comments>
</file>

<file path=xl/comments6.xml><?xml version="1.0" encoding="utf-8"?>
<comments xmlns="http://schemas.openxmlformats.org/spreadsheetml/2006/main">
  <authors>
    <author>Jonas Fjertorp</author>
  </authors>
  <commentList>
    <comment ref="E58"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<sst xmlns="http://schemas.openxmlformats.org/spreadsheetml/2006/main" count="812" uniqueCount="254">
  <si>
    <t>Total yta</t>
  </si>
  <si>
    <t>m2</t>
  </si>
  <si>
    <t>Byggdelar</t>
  </si>
  <si>
    <t>Utgift</t>
  </si>
  <si>
    <t>Kr/enhet</t>
  </si>
  <si>
    <t>Antal/yta</t>
  </si>
  <si>
    <t>Not</t>
  </si>
  <si>
    <t>Markarbete</t>
  </si>
  <si>
    <t>Byggnad</t>
  </si>
  <si>
    <t>Stallbyggnad</t>
  </si>
  <si>
    <t>Installationer</t>
  </si>
  <si>
    <t>VA-installationer</t>
  </si>
  <si>
    <t>El-installationer</t>
  </si>
  <si>
    <t>Gödselvårdsanläggning</t>
  </si>
  <si>
    <t>Byggledning</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</si>
  <si>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</si>
  <si>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</si>
  <si>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</si>
  <si>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</si>
  <si>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</si>
  <si>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</si>
  <si>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</si>
  <si>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</si>
  <si>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</si>
  <si>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</si>
  <si>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</si>
  <si>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</si>
  <si>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Typ av stall… (ändra denna text)</t>
  </si>
  <si>
    <t>suggor</t>
  </si>
  <si>
    <t>slaktgrisar</t>
  </si>
  <si>
    <t>tackor</t>
  </si>
  <si>
    <t>dikor</t>
  </si>
  <si>
    <t>slaktungnöt</t>
  </si>
  <si>
    <t>Välj djurslag…</t>
  </si>
  <si>
    <t/>
  </si>
  <si>
    <t>kr</t>
  </si>
  <si>
    <t>Smågrisar</t>
  </si>
  <si>
    <t>st</t>
  </si>
  <si>
    <t>Utslagssugga, kassation</t>
  </si>
  <si>
    <t>Nationellt stöd</t>
  </si>
  <si>
    <t>Miljöstöd, djurens välbefinnande</t>
  </si>
  <si>
    <t>ton</t>
  </si>
  <si>
    <t>Rekrytering</t>
  </si>
  <si>
    <t>Suggfoderblandning</t>
  </si>
  <si>
    <t>kg</t>
  </si>
  <si>
    <t>Suggkoncentrat</t>
  </si>
  <si>
    <t>Smågrisfoder</t>
  </si>
  <si>
    <t>Strömedel</t>
  </si>
  <si>
    <t>El</t>
  </si>
  <si>
    <t>kWh</t>
  </si>
  <si>
    <t>Produktionsrådgivning</t>
  </si>
  <si>
    <t>Semin</t>
  </si>
  <si>
    <t>SUMMA SÄRKOSTNADER 1</t>
  </si>
  <si>
    <t>Ränta djurkapital</t>
  </si>
  <si>
    <t>SUMMA SÄRKOSTNADER 2</t>
  </si>
  <si>
    <t>Byggnader, avskr + ränta</t>
  </si>
  <si>
    <t>tim</t>
  </si>
  <si>
    <t>SUMMA SÄRKOSTNADER 3</t>
  </si>
  <si>
    <t>Antal smågrisar per sugga och år</t>
  </si>
  <si>
    <t>smågrisar</t>
  </si>
  <si>
    <t>Grundförutsättningar</t>
  </si>
  <si>
    <t>Arbete (inkl. eget arbete)</t>
  </si>
  <si>
    <t>%</t>
  </si>
  <si>
    <t>Pris per enhet</t>
  </si>
  <si>
    <t>Övriga kostnader</t>
  </si>
  <si>
    <t>Utslagssugga, kött</t>
  </si>
  <si>
    <t>Nyckeltal</t>
  </si>
  <si>
    <t>Försäkringar för stallbyggnad</t>
  </si>
  <si>
    <t>Försäkringar för djur</t>
  </si>
  <si>
    <t>Investeringsstöd enligt schablon, totalt</t>
  </si>
  <si>
    <t>Investeringsutgift per djurplats utan stöd</t>
  </si>
  <si>
    <t>Flytgödsel, svin, 8% ts</t>
  </si>
  <si>
    <t>---</t>
  </si>
  <si>
    <t>Summa kostnader</t>
  </si>
  <si>
    <t>Driftkalkyl - Smågrisar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</si>
  <si>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</si>
  <si>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</si>
  <si>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</si>
  <si>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</si>
  <si>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</si>
  <si>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</si>
  <si>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</si>
  <si>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</si>
  <si>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</si>
  <si>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Delsumma byggledning &amp; ränta</t>
  </si>
  <si>
    <t>Ränta under byggtid</t>
  </si>
  <si>
    <t>Uppföljning av produktion, ekonomi &amp; drift</t>
  </si>
  <si>
    <t>Totalt för stallet</t>
  </si>
  <si>
    <t>Kronor per sugga</t>
  </si>
  <si>
    <t>Kronor per smågris</t>
  </si>
  <si>
    <t>Summa intäkter</t>
  </si>
  <si>
    <t>TB 1</t>
  </si>
  <si>
    <t>TB 2</t>
  </si>
  <si>
    <t>TB 3</t>
  </si>
  <si>
    <t>Täckningsbidrag per sugga</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</si>
  <si>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</si>
  <si>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</si>
  <si>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</si>
  <si>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</si>
  <si>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</si>
  <si>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</si>
  <si>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</si>
  <si>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</si>
  <si>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</si>
  <si>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</si>
  <si>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Driftkalkyl - Dikor</t>
  </si>
  <si>
    <t>Gödsel</t>
  </si>
  <si>
    <t>Kompensationsstöd</t>
  </si>
  <si>
    <t>Grovfoder</t>
  </si>
  <si>
    <t>Fodersäd</t>
  </si>
  <si>
    <t>Mineralfoder</t>
  </si>
  <si>
    <t>Driftsledning</t>
  </si>
  <si>
    <t>Ersättning för ekologisk produktion</t>
  </si>
  <si>
    <t>Kvant per sugga</t>
  </si>
  <si>
    <t>Driftkalkyl - Slaktgrisar</t>
  </si>
  <si>
    <t>Kvant per slaktgris</t>
  </si>
  <si>
    <t xml:space="preserve">Pris per enhet </t>
  </si>
  <si>
    <t>Kronor per slaktgris</t>
  </si>
  <si>
    <t>Antal omgångar per år</t>
  </si>
  <si>
    <t>Kött</t>
  </si>
  <si>
    <t>Ersättning för smärtfri kastrering / vaccinering</t>
  </si>
  <si>
    <t>Totalt för stallet per år</t>
  </si>
  <si>
    <t>Smågris</t>
  </si>
  <si>
    <t>Förmedlingsavgift, frakt, tillägg</t>
  </si>
  <si>
    <t>Branschgemensamma kostnader</t>
  </si>
  <si>
    <t>Dödlighet och kassaktioner vid slakt</t>
  </si>
  <si>
    <t>Veterinär &amp; medicin</t>
  </si>
  <si>
    <t>mjölkkor</t>
  </si>
  <si>
    <t>Ränta rörelsekapital</t>
  </si>
  <si>
    <t>Nettonuvärde vid 5 % avkastning</t>
  </si>
  <si>
    <t>Täckningsbidrag per slaktgris</t>
  </si>
  <si>
    <t>Netto betesmark</t>
  </si>
  <si>
    <t>Investeringsutgift (efter investeringsstöd enligt schablon)</t>
  </si>
  <si>
    <t xml:space="preserve">Fodersäd </t>
  </si>
  <si>
    <t>Koncentrat</t>
  </si>
  <si>
    <t>Driftnetto per år enligt driftkalkyl</t>
  </si>
  <si>
    <t>Driftnetto per år exklusive avskrivningar och ränta</t>
  </si>
  <si>
    <t>Resultat för stallet</t>
  </si>
  <si>
    <t>Vinstmarginal i stallkalkylen</t>
  </si>
  <si>
    <t>Byggnader, underhåll</t>
  </si>
  <si>
    <t>Driftkalkyl - Mjölkkor</t>
  </si>
  <si>
    <t>Driftkalkyl - Lamm</t>
  </si>
  <si>
    <t>Driftkalkyl - Slaktungnöt</t>
  </si>
  <si>
    <t>Antal sålda lamm per tacka och år</t>
  </si>
  <si>
    <t>Slaktlamm</t>
  </si>
  <si>
    <t>Utslagstacka</t>
  </si>
  <si>
    <t>Kvant per tacka</t>
  </si>
  <si>
    <t>Kronor per tacka</t>
  </si>
  <si>
    <t>Kronor per lamm</t>
  </si>
  <si>
    <t>Pälslammskinn</t>
  </si>
  <si>
    <t>Livdjur</t>
  </si>
  <si>
    <t>Ull</t>
  </si>
  <si>
    <t>Bagghållning</t>
  </si>
  <si>
    <t>Kraftfoder</t>
  </si>
  <si>
    <t>Täckningsbidrag per tacka</t>
  </si>
  <si>
    <t>Löner</t>
  </si>
  <si>
    <t>Diverse</t>
  </si>
  <si>
    <t>&lt;- Välj djurslag i rullistan</t>
  </si>
  <si>
    <t>kgts</t>
  </si>
  <si>
    <t>m3</t>
  </si>
  <si>
    <t>Klippning</t>
  </si>
  <si>
    <t>Spädgrisfoder</t>
  </si>
  <si>
    <t>Ålder kalv inköp</t>
  </si>
  <si>
    <t>månader</t>
  </si>
  <si>
    <t>Slaktålder</t>
  </si>
  <si>
    <t>Uppfödningstid</t>
  </si>
  <si>
    <t>Genomsnitt antal uppfödda per år</t>
  </si>
  <si>
    <t>Täckningsbidrag per slaktungnöt</t>
  </si>
  <si>
    <t>Kvant per slaktungnöt</t>
  </si>
  <si>
    <t>Kronor per slaktungnöt</t>
  </si>
  <si>
    <t>Nötkreatursstöd</t>
  </si>
  <si>
    <t>Kalv</t>
  </si>
  <si>
    <t>Förmedlingsavgift</t>
  </si>
  <si>
    <t>Kalvkraft foder</t>
  </si>
  <si>
    <t>Spannmål</t>
  </si>
  <si>
    <t>Framkörning foder</t>
  </si>
  <si>
    <t>Uppfödningstid rekryteringskviga</t>
  </si>
  <si>
    <t>Täckningsbidrag per dikor</t>
  </si>
  <si>
    <t>Rekryteringskviga</t>
  </si>
  <si>
    <t>Kvant per diko</t>
  </si>
  <si>
    <t>Kronor per diko</t>
  </si>
  <si>
    <t>Kronor per kalv</t>
  </si>
  <si>
    <t>Kvant per kviga</t>
  </si>
  <si>
    <t>Kronor per kviga</t>
  </si>
  <si>
    <t>Kvigkalv</t>
  </si>
  <si>
    <t>Tjurkalv</t>
  </si>
  <si>
    <t>Utslagsko</t>
  </si>
  <si>
    <t>Rekryteringskviga (se särskild kalkyl)</t>
  </si>
  <si>
    <t>Tjurhållning</t>
  </si>
  <si>
    <t>____________ foder</t>
  </si>
  <si>
    <t>Självkostnad (TB3 =0)</t>
  </si>
  <si>
    <t>Antal sålda kalvar per diko &amp; år</t>
  </si>
  <si>
    <t>Utrymme för löner</t>
  </si>
  <si>
    <t>Täckningsbidrag per mjölkko</t>
  </si>
  <si>
    <t>Kvant per ko och år</t>
  </si>
  <si>
    <t>Kronor per ko och år</t>
  </si>
  <si>
    <t>Levererad mjölk</t>
  </si>
  <si>
    <t>Livkalv, kviga</t>
  </si>
  <si>
    <t>Livkalv, tjur</t>
  </si>
  <si>
    <t>Kalvfärdig kviga</t>
  </si>
  <si>
    <t>Mjölknäring (kalvnäring)</t>
  </si>
  <si>
    <t>Foderhalm</t>
  </si>
  <si>
    <t>Semin- och kontrollavgift</t>
  </si>
  <si>
    <t>Åkermarksbete</t>
  </si>
  <si>
    <t>_________ foder</t>
  </si>
  <si>
    <t>Kraftfoder / Prot.mix</t>
  </si>
  <si>
    <t>Framkörning foder mm</t>
  </si>
  <si>
    <t>osv.</t>
  </si>
  <si>
    <t>Nuvärdet av driftsnetto (exklusive avskrivningar och ränta)</t>
  </si>
  <si>
    <t>SUMMA Investeringsutgift (exklusive utrymmen för visning)</t>
  </si>
  <si>
    <t>TOTAL INVESTERINGSUTGIFT (inklusive utrymmen för visning, utan stöd)</t>
  </si>
  <si>
    <t>lamm</t>
  </si>
  <si>
    <t>Indata till rullista på fliken "Investeringskalkyl" - RADERA EJ</t>
  </si>
  <si>
    <t>Grovfoder, ensilage</t>
  </si>
  <si>
    <t xml:space="preserve">                     bete åker</t>
  </si>
  <si>
    <t xml:space="preserve">                     bete ej åker</t>
  </si>
  <si>
    <t>Strömedel, halm</t>
  </si>
  <si>
    <t xml:space="preserve">                     rörflen</t>
  </si>
  <si>
    <t>Transporter</t>
  </si>
  <si>
    <t>Drivmedel</t>
  </si>
  <si>
    <t>liter</t>
  </si>
  <si>
    <t>DE</t>
  </si>
  <si>
    <t xml:space="preserve">                bete ej åker</t>
  </si>
  <si>
    <t>Maskiner, avskr + ränta</t>
  </si>
  <si>
    <t>Maskiner, löpande underhåll</t>
  </si>
  <si>
    <t>m²</t>
  </si>
  <si>
    <t>Inredning</t>
  </si>
  <si>
    <t>Vattenkoppar</t>
  </si>
  <si>
    <t>-betongplatta</t>
  </si>
  <si>
    <t>-stomme, tak och perforead plåt till sidor</t>
  </si>
  <si>
    <t>-väggar, portar</t>
  </si>
  <si>
    <t>Förmedlingspris</t>
  </si>
  <si>
    <t>tjur</t>
  </si>
  <si>
    <t>kviga</t>
  </si>
  <si>
    <t>kr/kg</t>
  </si>
  <si>
    <t>Markarbete för byggnader, gödselplatta och planer</t>
  </si>
  <si>
    <t>Förprövning och Investeringsstöd</t>
  </si>
  <si>
    <t>Ingela Löfquist</t>
  </si>
  <si>
    <t>Karin Granström</t>
  </si>
  <si>
    <t>Sofia Hedlund</t>
  </si>
  <si>
    <t>Patrick Petersson</t>
  </si>
  <si>
    <t>Johan Svantesson</t>
  </si>
  <si>
    <t>Lantbrukare</t>
  </si>
  <si>
    <t>HIR Skåne</t>
  </si>
  <si>
    <t>Hushållningssällskapet Värmland</t>
  </si>
  <si>
    <t>balkong exkl. terrass (7 m2)</t>
  </si>
  <si>
    <t>Diko</t>
  </si>
  <si>
    <t>Övrigt</t>
  </si>
  <si>
    <t>Personal- och serviceutrymmen</t>
  </si>
  <si>
    <t>Maskiner</t>
  </si>
  <si>
    <t>Foder-, strö- och utgödselmaskiner</t>
  </si>
  <si>
    <t>Delsumma maskiner</t>
  </si>
  <si>
    <t>Byggledning, övrigt &amp; ränta</t>
  </si>
  <si>
    <t>Gödsellagun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</si>
</sst>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0\ &quot;kr&quot;;[Red]\-#,##0\ &quot;kr&quot;"/>
    <numFmt numFmtId="8" formatCode="#,##0.00\ &quot;kr&quot;;[Red]\-#,##0.0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000%"/>
    <numFmt numFmtId="173" formatCode="#,##0_ ;[Red]\-#,##0\ "/>
    <numFmt numFmtId="174" formatCode="#,##0.000"/>
    <numFmt numFmtId="175" formatCode="#,##0.00\ &quot;kr&quot;"/>
    <numFmt numFmtId="176" formatCode="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6"/>
      <name val="Cambria"/>
      <family val="1"/>
    </font>
    <font>
      <b/>
      <sz val="9"/>
      <color indexed="81"/>
      <name val="Tahoma"/>
      <family val="2"/>
    </font>
    <font>
      <b/>
      <sz val="14"/>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cellStyleXfs>
  <cellXfs count="270">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Protection="1">
      <protection locked="0"/>
    </xf>
    <xf numFmtId="0" fontId="5" fillId="0" borderId="0" xfId="0" applyFont="1" applyBorder="1" applyAlignment="1" applyProtection="1">
      <alignment horizontal="right"/>
      <protection locked="0"/>
    </xf>
    <xf numFmtId="0" fontId="5" fillId="0" borderId="0" xfId="0" applyFont="1" applyProtection="1">
      <protection locked="0"/>
    </xf>
    <xf numFmtId="3" fontId="5" fillId="0" borderId="0" xfId="0" applyNumberFormat="1" applyFont="1" applyBorder="1" applyProtection="1">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2"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0" fontId="14" fillId="0" borderId="0" xfId="0" quotePrefix="1" applyFont="1" applyBorder="1" applyAlignment="1" applyProtection="1">
      <alignment horizontal="center"/>
      <protection locked="0"/>
    </xf>
    <xf numFmtId="0" fontId="5" fillId="0" borderId="0" xfId="0" applyFont="1" applyBorder="1" applyAlignment="1" applyProtection="1">
      <alignment horizontal="center"/>
      <protection locked="0"/>
    </xf>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8" fontId="5" fillId="0" borderId="0" xfId="1" applyNumberFormat="1" applyFont="1" applyFill="1" applyBorder="1" applyProtection="1">
      <protection locked="0"/>
    </xf>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3" fontId="13" fillId="3" borderId="1" xfId="2" applyNumberFormat="1" applyFont="1" applyFill="1" applyBorder="1" applyAlignment="1" applyProtection="1">
      <alignment horizontal="right"/>
    </xf>
    <xf numFmtId="173"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0"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172" fontId="4" fillId="3" borderId="6" xfId="0" applyNumberFormat="1" applyFont="1" applyFill="1" applyBorder="1" applyProtection="1"/>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70" fontId="5" fillId="3" borderId="0" xfId="1"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2" fontId="4" fillId="0" borderId="0" xfId="0" applyNumberFormat="1" applyFont="1" applyFill="1" applyBorder="1" applyProtection="1">
      <protection locked="0"/>
    </xf>
    <xf numFmtId="0" fontId="12" fillId="4" borderId="2" xfId="0" applyFont="1" applyFill="1" applyBorder="1" applyAlignment="1" applyProtection="1">
      <alignment horizontal="left" wrapText="1"/>
    </xf>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0" xfId="0" applyFont="1" applyBorder="1" applyAlignment="1" applyProtection="1">
      <alignment wrapText="1"/>
    </xf>
    <xf numFmtId="0" fontId="4" fillId="0" borderId="11" xfId="0" applyFont="1" applyBorder="1" applyProtection="1"/>
    <xf numFmtId="0" fontId="4" fillId="0" borderId="3" xfId="0" applyFont="1" applyBorder="1" applyAlignment="1" applyProtection="1">
      <alignment wrapText="1"/>
    </xf>
    <xf numFmtId="0" fontId="4" fillId="0" borderId="3" xfId="0" applyFont="1" applyFill="1" applyBorder="1" applyProtection="1"/>
    <xf numFmtId="0" fontId="4" fillId="0" borderId="3"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4" fillId="0" borderId="9" xfId="0" applyFont="1" applyBorder="1" applyAlignment="1" applyProtection="1">
      <alignment vertical="top" wrapText="1"/>
    </xf>
    <xf numFmtId="0" fontId="4" fillId="0" borderId="0" xfId="0" applyFont="1" applyAlignment="1" applyProtection="1">
      <alignment wrapText="1"/>
    </xf>
    <xf numFmtId="0" fontId="12" fillId="4" borderId="4" xfId="0" applyFont="1" applyFill="1" applyBorder="1" applyAlignment="1" applyProtection="1">
      <alignment horizontal="left"/>
    </xf>
    <xf numFmtId="4" fontId="5" fillId="3" borderId="0" xfId="0" applyNumberFormat="1" applyFont="1" applyFill="1" applyBorder="1" applyProtection="1"/>
    <xf numFmtId="0" fontId="12" fillId="0" borderId="0" xfId="0" applyFont="1" applyFill="1" applyBorder="1" applyAlignment="1" applyProtection="1">
      <alignment horizontal="center"/>
    </xf>
    <xf numFmtId="8" fontId="13" fillId="3" borderId="19" xfId="0" applyNumberFormat="1" applyFont="1" applyFill="1" applyBorder="1" applyProtection="1"/>
    <xf numFmtId="0" fontId="5" fillId="0" borderId="0" xfId="0" applyFont="1" applyFill="1" applyBorder="1" applyProtection="1"/>
    <xf numFmtId="0" fontId="4" fillId="0" borderId="10" xfId="0" applyFont="1" applyFill="1" applyBorder="1" applyProtection="1">
      <protection locked="0"/>
    </xf>
    <xf numFmtId="174" fontId="5" fillId="0" borderId="0" xfId="0" applyNumberFormat="1" applyFont="1" applyFill="1" applyBorder="1" applyAlignment="1" applyProtection="1">
      <alignment horizontal="right"/>
      <protection locked="0"/>
    </xf>
    <xf numFmtId="167" fontId="5" fillId="3" borderId="0" xfId="0" applyNumberFormat="1" applyFont="1" applyFill="1" applyBorder="1" applyProtection="1"/>
    <xf numFmtId="0" fontId="12" fillId="4" borderId="2" xfId="0" applyFont="1" applyFill="1" applyBorder="1" applyAlignment="1" applyProtection="1">
      <alignment horizontal="left" wrapText="1"/>
    </xf>
    <xf numFmtId="2" fontId="4" fillId="3" borderId="10" xfId="0" applyNumberFormat="1" applyFont="1" applyFill="1" applyBorder="1" applyProtection="1"/>
    <xf numFmtId="0" fontId="12" fillId="4" borderId="2" xfId="0" applyFont="1" applyFill="1" applyBorder="1" applyAlignment="1" applyProtection="1">
      <alignment horizontal="left" wrapText="1"/>
    </xf>
    <xf numFmtId="1" fontId="5" fillId="0" borderId="0" xfId="0" applyNumberFormat="1" applyFont="1" applyFill="1" applyBorder="1" applyProtection="1">
      <protection locked="0"/>
    </xf>
    <xf numFmtId="0" fontId="4" fillId="0" borderId="5" xfId="0" applyFont="1" applyBorder="1" applyAlignment="1" applyProtection="1"/>
    <xf numFmtId="0" fontId="4" fillId="0" borderId="5" xfId="0" applyFont="1" applyBorder="1" applyAlignment="1" applyProtection="1">
      <alignment horizontal="left" vertical="top" wrapText="1"/>
    </xf>
    <xf numFmtId="0" fontId="4" fillId="0" borderId="9" xfId="0" applyFont="1" applyBorder="1" applyAlignment="1" applyProtection="1"/>
    <xf numFmtId="3" fontId="18" fillId="0" borderId="0" xfId="0" applyNumberFormat="1" applyFont="1" applyBorder="1" applyProtection="1"/>
    <xf numFmtId="3" fontId="12" fillId="4" borderId="19" xfId="0" applyNumberFormat="1" applyFont="1" applyFill="1" applyBorder="1" applyAlignment="1" applyProtection="1">
      <alignment horizontal="center" wrapText="1"/>
    </xf>
    <xf numFmtId="164" fontId="5" fillId="0" borderId="19" xfId="0" applyNumberFormat="1" applyFont="1" applyBorder="1" applyProtection="1"/>
    <xf numFmtId="0" fontId="12" fillId="0" borderId="0" xfId="0" applyFont="1" applyBorder="1" applyProtection="1"/>
    <xf numFmtId="0" fontId="13" fillId="0" borderId="19" xfId="0" applyFont="1" applyBorder="1" applyAlignment="1" applyProtection="1">
      <alignment horizontal="left"/>
    </xf>
    <xf numFmtId="0" fontId="5" fillId="0" borderId="19" xfId="0" applyFont="1" applyBorder="1" applyProtection="1"/>
    <xf numFmtId="175" fontId="13" fillId="0" borderId="19" xfId="0" applyNumberFormat="1" applyFont="1" applyFill="1" applyBorder="1" applyProtection="1"/>
    <xf numFmtId="168" fontId="5" fillId="0" borderId="0" xfId="1" applyNumberFormat="1" applyFont="1" applyFill="1" applyBorder="1" applyProtection="1"/>
    <xf numFmtId="164" fontId="5" fillId="0" borderId="0" xfId="0" applyNumberFormat="1" applyFont="1" applyFill="1" applyBorder="1" applyProtection="1"/>
    <xf numFmtId="0" fontId="4" fillId="0" borderId="0" xfId="0" applyFont="1" applyProtection="1">
      <protection locked="0"/>
    </xf>
    <xf numFmtId="169" fontId="5" fillId="0" borderId="0" xfId="0" applyNumberFormat="1" applyFont="1" applyFill="1" applyBorder="1" applyProtection="1">
      <protection locked="0"/>
    </xf>
    <xf numFmtId="4" fontId="5" fillId="3" borderId="0" xfId="0" applyNumberFormat="1" applyFont="1" applyFill="1" applyBorder="1" applyProtection="1">
      <protection locked="0"/>
    </xf>
    <xf numFmtId="168" fontId="4" fillId="3" borderId="6" xfId="0" applyNumberFormat="1" applyFont="1" applyFill="1" applyBorder="1" applyProtection="1"/>
    <xf numFmtId="173" fontId="13" fillId="3" borderId="13" xfId="2" applyNumberFormat="1" applyFont="1" applyFill="1" applyBorder="1" applyAlignment="1" applyProtection="1">
      <alignment horizontal="right"/>
    </xf>
    <xf numFmtId="173" fontId="13" fillId="3" borderId="0" xfId="2" applyNumberFormat="1" applyFont="1" applyFill="1" applyBorder="1" applyAlignment="1" applyProtection="1">
      <alignment horizontal="right"/>
    </xf>
    <xf numFmtId="170" fontId="5" fillId="3" borderId="0" xfId="0" applyNumberFormat="1" applyFont="1" applyFill="1" applyBorder="1" applyProtection="1">
      <protection locked="0"/>
    </xf>
    <xf numFmtId="169" fontId="5" fillId="3" borderId="19" xfId="0" applyNumberFormat="1" applyFont="1" applyFill="1" applyBorder="1" applyProtection="1"/>
    <xf numFmtId="0" fontId="5" fillId="0" borderId="0" xfId="0" applyFont="1" applyAlignment="1" applyProtection="1">
      <alignment horizontal="right"/>
      <protection locked="0"/>
    </xf>
    <xf numFmtId="0" fontId="20" fillId="0" borderId="0" xfId="0" applyFont="1"/>
    <xf numFmtId="2" fontId="4" fillId="2" borderId="0" xfId="0" applyNumberFormat="1" applyFont="1" applyFill="1" applyBorder="1" applyProtection="1">
      <protection locked="0"/>
    </xf>
    <xf numFmtId="0" fontId="13" fillId="0" borderId="0" xfId="0" applyFont="1" applyBorder="1" applyAlignment="1" applyProtection="1">
      <alignment horizontal="left"/>
    </xf>
    <xf numFmtId="0" fontId="13" fillId="0" borderId="0" xfId="0" applyFont="1" applyBorder="1" applyProtection="1"/>
    <xf numFmtId="0" fontId="13" fillId="0" borderId="0" xfId="0" applyFont="1" applyBorder="1" applyAlignment="1" applyProtection="1">
      <alignment horizontal="right"/>
    </xf>
    <xf numFmtId="175" fontId="13" fillId="0" borderId="0" xfId="0" applyNumberFormat="1" applyFont="1" applyFill="1" applyBorder="1" applyProtection="1"/>
    <xf numFmtId="6" fontId="13" fillId="3" borderId="0" xfId="0" applyNumberFormat="1" applyFont="1" applyFill="1" applyBorder="1" applyProtection="1"/>
    <xf numFmtId="3" fontId="13" fillId="0" borderId="0" xfId="0" applyNumberFormat="1" applyFont="1" applyFill="1" applyBorder="1" applyProtection="1"/>
    <xf numFmtId="4" fontId="13" fillId="0" borderId="0" xfId="0" applyNumberFormat="1" applyFont="1" applyFill="1" applyBorder="1" applyProtection="1"/>
    <xf numFmtId="6" fontId="4" fillId="0" borderId="0" xfId="0" applyNumberFormat="1" applyFont="1" applyProtection="1"/>
    <xf numFmtId="170" fontId="5" fillId="0" borderId="0" xfId="0" applyNumberFormat="1" applyFont="1" applyFill="1" applyBorder="1" applyProtection="1"/>
    <xf numFmtId="0" fontId="4" fillId="0" borderId="5" xfId="0" quotePrefix="1" applyFont="1" applyBorder="1"/>
    <xf numFmtId="6" fontId="5" fillId="0" borderId="0" xfId="0" applyNumberFormat="1" applyFont="1" applyProtection="1"/>
    <xf numFmtId="176" fontId="4" fillId="0" borderId="0" xfId="0" applyNumberFormat="1" applyFont="1" applyBorder="1" applyProtection="1">
      <protection locked="0"/>
    </xf>
    <xf numFmtId="0" fontId="4" fillId="0" borderId="5"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176" fontId="5" fillId="0" borderId="0" xfId="0" applyNumberFormat="1" applyFont="1" applyFill="1" applyBorder="1" applyAlignment="1" applyProtection="1">
      <alignment horizontal="right"/>
      <protection locked="0"/>
    </xf>
    <xf numFmtId="0" fontId="14" fillId="0" borderId="0" xfId="0" quotePrefix="1" applyFont="1" applyFill="1" applyBorder="1" applyAlignment="1" applyProtection="1">
      <alignment horizontal="center"/>
    </xf>
    <xf numFmtId="0" fontId="14" fillId="0" borderId="0" xfId="0" applyFont="1" applyFill="1" applyBorder="1" applyAlignment="1" applyProtection="1">
      <alignment horizontal="center"/>
    </xf>
    <xf numFmtId="169" fontId="5" fillId="0" borderId="0" xfId="1" applyNumberFormat="1" applyFont="1" applyFill="1" applyBorder="1" applyProtection="1">
      <protection locked="0"/>
    </xf>
    <xf numFmtId="169" fontId="5" fillId="0" borderId="0" xfId="0" applyNumberFormat="1" applyFont="1" applyFill="1" applyBorder="1" applyProtection="1"/>
    <xf numFmtId="0" fontId="5" fillId="0" borderId="1" xfId="0" applyFont="1" applyFill="1" applyBorder="1" applyAlignment="1" applyProtection="1">
      <alignment horizontal="right"/>
      <protection locked="0"/>
    </xf>
    <xf numFmtId="0" fontId="4" fillId="0" borderId="0" xfId="0" applyFont="1" applyFill="1"/>
    <xf numFmtId="164" fontId="4" fillId="0" borderId="6" xfId="0" applyNumberFormat="1" applyFont="1" applyFill="1" applyBorder="1" applyProtection="1"/>
    <xf numFmtId="0" fontId="5" fillId="0" borderId="5" xfId="0" applyFont="1" applyBorder="1" applyAlignment="1">
      <alignment wrapText="1"/>
    </xf>
    <xf numFmtId="0" fontId="8" fillId="0" borderId="13" xfId="0" applyFont="1" applyBorder="1" applyProtection="1">
      <protection locked="0"/>
    </xf>
    <xf numFmtId="164" fontId="8" fillId="0" borderId="13" xfId="0" applyNumberFormat="1" applyFont="1" applyBorder="1" applyProtection="1">
      <protection locked="0"/>
    </xf>
    <xf numFmtId="164" fontId="8" fillId="3" borderId="14" xfId="0" applyNumberFormat="1" applyFont="1" applyFill="1" applyBorder="1" applyProtection="1"/>
    <xf numFmtId="0" fontId="8" fillId="0" borderId="0" xfId="0" applyFont="1" applyBorder="1" applyProtection="1">
      <protection locked="0"/>
    </xf>
    <xf numFmtId="164" fontId="8" fillId="0" borderId="0" xfId="0" applyNumberFormat="1" applyFont="1" applyBorder="1" applyProtection="1">
      <protection locked="0"/>
    </xf>
    <xf numFmtId="0" fontId="5" fillId="0" borderId="0" xfId="0" applyFont="1" applyFill="1" applyBorder="1" applyAlignment="1" applyProtection="1">
      <alignment horizontal="center"/>
      <protection locked="0"/>
    </xf>
    <xf numFmtId="0" fontId="14" fillId="5" borderId="13" xfId="0" applyFont="1" applyFill="1" applyBorder="1" applyAlignment="1" applyProtection="1">
      <alignment horizontal="center"/>
      <protection locked="0"/>
    </xf>
    <xf numFmtId="0" fontId="4" fillId="0" borderId="0" xfId="0" applyFont="1" applyFill="1" applyBorder="1" applyAlignment="1" applyProtection="1">
      <alignment horizontal="right" wrapText="1"/>
      <protection locked="0"/>
    </xf>
    <xf numFmtId="0" fontId="12" fillId="4" borderId="2" xfId="0" applyFont="1" applyFill="1" applyBorder="1" applyAlignment="1" applyProtection="1">
      <alignment horizontal="left" wrapText="1"/>
    </xf>
    <xf numFmtId="0" fontId="12" fillId="4" borderId="4" xfId="0" applyFont="1" applyFill="1" applyBorder="1" applyAlignment="1" applyProtection="1">
      <alignment horizontal="left" wrapText="1"/>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4</xdr:col>
      <xdr:colOff>0</xdr:colOff>
      <xdr:row>3</xdr:row>
      <xdr:rowOff>0</xdr:rowOff>
    </xdr:from>
    <xdr:ext cx="2381249" cy="1257300"/>
    <xdr:sp macro="" textlink="">
      <xdr:nvSpPr>
        <xdr:cNvPr id="3" name="textruta 2"/>
        <xdr:cNvSpPr txBox="1"/>
      </xdr:nvSpPr>
      <xdr:spPr>
        <a:xfrm>
          <a:off x="5303520" y="75438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161925</xdr:colOff>
      <xdr:row>0</xdr:row>
      <xdr:rowOff>295275</xdr:rowOff>
    </xdr:from>
    <xdr:ext cx="7267575" cy="18802350"/>
    <xdr:sp macro="" textlink="">
      <xdr:nvSpPr>
        <xdr:cNvPr id="4" name="textruta 3"/>
        <xdr:cNvSpPr txBox="1"/>
      </xdr:nvSpPr>
      <xdr:spPr>
        <a:xfrm>
          <a:off x="13306425" y="295275"/>
          <a:ext cx="7267575" cy="1880235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Dikor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dikorna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a:effectLst/>
            <a:latin typeface="Cambria"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Undvik dubbelberäkningar genom att djurrelaterade stöd räknas som intäkt i djurkalkylen samtidigt som de minskar kostnaden för egenproducerat foder. För stöd som integrerar djurhållning och odling ska du redovisa hur detta beaktats i noten till kalkylposten.</a:t>
          </a:r>
          <a:endParaRPr lang="sv-SE">
            <a:effectLst/>
            <a:latin typeface="Cambria" panose="02040503050406030204" pitchFamily="18" charset="0"/>
          </a:endParaRP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Du får räkna med ersättning för att djuret håller betesmarkerna öppna. Detta beaktas genom att redovisa "netto bete" eller "skötselersättning" för djuren som betar. </a:t>
          </a:r>
          <a:r>
            <a:rPr lang="sv-SE" sz="1100" b="0" baseline="0">
              <a:solidFill>
                <a:schemeClr val="tx1"/>
              </a:solidFill>
              <a:effectLst/>
              <a:latin typeface="Cambria" panose="02040503050406030204" pitchFamily="18" charset="0"/>
              <a:ea typeface="+mn-ea"/>
              <a:cs typeface="+mn-cs"/>
            </a:rPr>
            <a:t>Om nettot är negativt skriver du 0 kr på intäktsraden och lägger istället till en ny rad under kostnader.</a:t>
          </a:r>
          <a:r>
            <a:rPr lang="sv-SE" sz="1100" b="0" i="0" baseline="0">
              <a:solidFill>
                <a:schemeClr val="tx1"/>
              </a:solidFill>
              <a:effectLst/>
              <a:latin typeface="Cambria" panose="02040503050406030204" pitchFamily="18" charset="0"/>
              <a:ea typeface="+mn-ea"/>
              <a:cs typeface="+mn-cs"/>
            </a:rPr>
            <a:t> Betesnettot redovisar du som en särskild kalkyl för företagets betesmarker och/eller via en ersättningsnivå för uthyrning av betesdjur i området.</a:t>
          </a: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Observera att investeringsstödet beaktas i fliken investeringskalkyl.</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Kostnaden</a:t>
          </a:r>
          <a:r>
            <a:rPr lang="sv-SE" sz="1100" b="0" baseline="0">
              <a:solidFill>
                <a:schemeClr val="tx1"/>
              </a:solidFill>
              <a:effectLst/>
              <a:latin typeface="Cambria" panose="02040503050406030204" pitchFamily="18" charset="0"/>
              <a:ea typeface="+mn-ea"/>
              <a:cs typeface="+mn-cs"/>
            </a:rPr>
            <a:t> för en rekryteringskviga från egen uppfödning beräknas i en särskild kalkyl  på denna flik "Rekryteringskviga". Här ska du inte ange kostnad per år, utan den totala kostnaden för hela uppfödningstiden.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4580860" y="540488"/>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0</xdr:colOff>
      <xdr:row>1</xdr:row>
      <xdr:rowOff>0</xdr:rowOff>
    </xdr:from>
    <xdr:ext cx="7267575" cy="17783175"/>
    <xdr:sp macro="" textlink="">
      <xdr:nvSpPr>
        <xdr:cNvPr id="3" name="textruta 2"/>
        <xdr:cNvSpPr txBox="1"/>
      </xdr:nvSpPr>
      <xdr:spPr>
        <a:xfrm>
          <a:off x="9020175" y="342900"/>
          <a:ext cx="7267575" cy="177831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smågrisar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smtClean="0">
              <a:solidFill>
                <a:schemeClr val="tx1"/>
              </a:solidFill>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 sz="1100" smtClean="0">
            <a:solidFill>
              <a:schemeClr val="tx1"/>
            </a:solidFill>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a:t>
          </a:r>
          <a:endParaRPr lang="sv-SE" i="1">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a:t>
          </a:r>
          <a:r>
            <a:rPr lang="sv-SE" sz="1100" b="0" u="sng" baseline="0">
              <a:solidFill>
                <a:schemeClr val="tx1"/>
              </a:solidFill>
              <a:effectLst/>
              <a:latin typeface="Cambria" panose="02040503050406030204" pitchFamily="18" charset="0"/>
              <a:ea typeface="+mn-ea"/>
              <a:cs typeface="+mn-cs"/>
            </a:rPr>
            <a:t>utom</a:t>
          </a:r>
          <a:r>
            <a:rPr lang="sv-SE" sz="1100" b="0" baseline="0">
              <a:solidFill>
                <a:schemeClr val="tx1"/>
              </a:solidFill>
              <a:effectLst/>
              <a:latin typeface="Cambria" panose="02040503050406030204" pitchFamily="18" charset="0"/>
              <a:ea typeface="+mn-ea"/>
              <a:cs typeface="+mn-cs"/>
            </a:rPr>
            <a:t>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Försök att använda befintliga rubriker. Om någon kalkylpost saknas går det bra att lägga till rader.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separat not. Noterna numreras löpande. Om du lägger till rader får du ändra numreringen på de rader som kommer efter. I noten förklarar du hur du har räknat fram beloppet och volymen. Noterna skriver du i en särskild bilaga som ska lämnas i rapporten.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Antal</a:t>
          </a:r>
          <a:r>
            <a:rPr lang="sv-SE" sz="1100" b="0" baseline="0">
              <a:solidFill>
                <a:schemeClr val="tx1"/>
              </a:solidFill>
              <a:effectLst/>
              <a:latin typeface="Cambria" panose="02040503050406030204" pitchFamily="18" charset="0"/>
              <a:ea typeface="+mn-ea"/>
              <a:cs typeface="+mn-cs"/>
            </a:rPr>
            <a:t> smågrisar - </a:t>
          </a:r>
          <a:r>
            <a:rPr lang="sv-SE" sz="1100" b="0">
              <a:solidFill>
                <a:schemeClr val="tx1"/>
              </a:solidFill>
              <a:effectLst/>
              <a:latin typeface="Cambria" panose="02040503050406030204" pitchFamily="18" charset="0"/>
              <a:ea typeface="+mn-ea"/>
              <a:cs typeface="+mn-cs"/>
            </a:rPr>
            <a:t>Ange antal </a:t>
          </a:r>
          <a:r>
            <a:rPr lang="sv-SE" sz="1100" b="0" baseline="0">
              <a:solidFill>
                <a:schemeClr val="tx1"/>
              </a:solidFill>
              <a:effectLst/>
              <a:latin typeface="Cambria" panose="02040503050406030204" pitchFamily="18" charset="0"/>
              <a:ea typeface="+mn-ea"/>
              <a:cs typeface="+mn-cs"/>
            </a:rPr>
            <a:t>smågrisar per sugga och år.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Smågrisar</a:t>
          </a:r>
        </a:p>
        <a:p>
          <a:pPr eaLnBrk="1" fontAlgn="auto" latinLnBrk="0" hangingPunct="1"/>
          <a:r>
            <a:rPr lang="sv-SE" sz="1100" b="0" baseline="0">
              <a:solidFill>
                <a:schemeClr val="tx1"/>
              </a:solidFill>
              <a:effectLst/>
              <a:latin typeface="Cambria" panose="02040503050406030204" pitchFamily="18" charset="0"/>
              <a:ea typeface="+mn-ea"/>
              <a:cs typeface="+mn-cs"/>
            </a:rPr>
            <a:t>Antalet smågrisar per sugga hämtas från rutan "Grundförutsättningar" ovan.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Utslagssugga kött &amp; kassaktion</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suggorna slås ut på årsbasis, ska summan av kvantiteten som går till kött och kassaktion vara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Observera att investeringsstödet beaktas i fliken invetsreringskalkyl.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med hänsyn till konstruktion, material och byggnadsteknik.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Summa 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0" u="none" baseline="0">
              <a:solidFill>
                <a:schemeClr val="tx1"/>
              </a:solidFill>
              <a:effectLst/>
              <a:latin typeface="Cambria" panose="02040503050406030204" pitchFamily="18" charset="0"/>
              <a:ea typeface="+mn-ea"/>
              <a:cs typeface="+mn-cs"/>
            </a:rPr>
            <a:t>Summa kostnader får inte överstiga 550 kr per smågris </a:t>
          </a:r>
          <a:r>
            <a:rPr lang="sv-SE" sz="1100" b="0" baseline="0">
              <a:solidFill>
                <a:schemeClr val="tx1"/>
              </a:solidFill>
              <a:effectLst/>
              <a:latin typeface="Cambria" panose="02040503050406030204" pitchFamily="18" charset="0"/>
              <a:ea typeface="+mn-ea"/>
              <a:cs typeface="+mn-cs"/>
            </a:rPr>
            <a:t>(mål i Handlingsplan Gris).</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Kontrollera beräkningarna!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552450</xdr:colOff>
      <xdr:row>0</xdr:row>
      <xdr:rowOff>76200</xdr:rowOff>
    </xdr:from>
    <xdr:ext cx="7267575" cy="15049500"/>
    <xdr:sp macro="" textlink="">
      <xdr:nvSpPr>
        <xdr:cNvPr id="2" name="textruta 1"/>
        <xdr:cNvSpPr txBox="1"/>
      </xdr:nvSpPr>
      <xdr:spPr>
        <a:xfrm>
          <a:off x="7972425" y="76200"/>
          <a:ext cx="7267575" cy="150495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Slaktgrisar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baseline="0">
              <a:solidFill>
                <a:schemeClr val="tx1"/>
              </a:solidFill>
              <a:effectLst/>
              <a:latin typeface="Cambria" panose="02040503050406030204" pitchFamily="18" charset="0"/>
              <a:ea typeface="+mn-ea"/>
              <a:cs typeface="+mn-cs"/>
            </a:rPr>
            <a:t>Ange antal uppfödningsomgångar per år.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finns som stallet byggs för. Stöden beräknas till aktuell nivå för år 2017. (Detta är en förenkling i kalkylen, även om stödnivåerna förväntas förändras kommande år.)</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Smågris</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Inköpspriset</a:t>
          </a:r>
          <a:r>
            <a:rPr lang="sv-SE" sz="1100" b="0" baseline="0">
              <a:solidFill>
                <a:schemeClr val="tx1"/>
              </a:solidFill>
              <a:effectLst/>
              <a:latin typeface="Cambria" panose="02040503050406030204" pitchFamily="18" charset="0"/>
              <a:ea typeface="+mn-ea"/>
              <a:cs typeface="+mn-cs"/>
            </a:rPr>
            <a:t> ska vara minst 631 kr. Det är den nivå som krävs för att smågrisproducenten ska kunna producera en gris för 550 kr och ha täckning för administration</a:t>
          </a:r>
          <a:r>
            <a:rPr lang="sv-SE" sz="1100" b="0">
              <a:solidFill>
                <a:schemeClr val="tx1"/>
              </a:solidFill>
              <a:effectLst/>
              <a:latin typeface="Cambria" panose="02040503050406030204" pitchFamily="18" charset="0"/>
              <a:ea typeface="+mn-ea"/>
              <a:cs typeface="+mn-cs"/>
            </a:rPr>
            <a:t> och andra gemensamma kostnader för företaget samt vinst och skatt.</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561975</xdr:colOff>
      <xdr:row>0</xdr:row>
      <xdr:rowOff>57149</xdr:rowOff>
    </xdr:from>
    <xdr:ext cx="7267575" cy="19148149"/>
    <xdr:sp macro="" textlink="">
      <xdr:nvSpPr>
        <xdr:cNvPr id="5" name="textruta 4"/>
        <xdr:cNvSpPr txBox="1"/>
      </xdr:nvSpPr>
      <xdr:spPr>
        <a:xfrm>
          <a:off x="8973999" y="57149"/>
          <a:ext cx="7267575" cy="19148149"/>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Lamm</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 sålda</a:t>
          </a:r>
          <a:r>
            <a:rPr lang="sv-SE" sz="1100" b="0" baseline="0">
              <a:solidFill>
                <a:schemeClr val="tx1"/>
              </a:solidFill>
              <a:effectLst/>
              <a:latin typeface="Cambria" panose="02040503050406030204" pitchFamily="18" charset="0"/>
              <a:ea typeface="+mn-ea"/>
              <a:cs typeface="+mn-cs"/>
            </a:rPr>
            <a:t> lamm per tacka och år.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Livdjur</a:t>
          </a:r>
        </a:p>
        <a:p>
          <a:pPr eaLnBrk="1" fontAlgn="auto" latinLnBrk="0" hangingPunct="1"/>
          <a:r>
            <a:rPr lang="sv-SE" sz="1100" b="0" baseline="0">
              <a:solidFill>
                <a:schemeClr val="tx1"/>
              </a:solidFill>
              <a:effectLst/>
              <a:latin typeface="Cambria" panose="02040503050406030204" pitchFamily="18" charset="0"/>
              <a:ea typeface="+mn-ea"/>
              <a:cs typeface="+mn-cs"/>
            </a:rPr>
            <a:t>Räkna bara med sådana livdjur som säljs och inte används som rekrytering. Även om inga livdjur köps in måste du skriva in ett pris per enhet på raden för livdjur för att beräkningen av djurkapital ska bli rätt.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Utslagsfår</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tackorna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endParaRPr lang="sv-SE">
            <a:effectLst/>
            <a:latin typeface="Cambria" panose="02040503050406030204" pitchFamily="18" charset="0"/>
          </a:endParaRP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Undvik dubbelberäkningar genom att djurrelaterade stöd räknas som intäkt i djurkalkylen samtidigt som de minskar kostnaden för egenproducerat foder. För stöd som integrerar djurhållning och odling ska du redovisa hur detta beaktats i noten till kalkylposten.</a:t>
          </a:r>
          <a:endParaRPr lang="sv-SE">
            <a:effectLst/>
            <a:latin typeface="Cambria" panose="02040503050406030204" pitchFamily="18" charset="0"/>
          </a:endParaRP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Du får räkna med ersättning för att djuret håller betesmarkerna öppna. Detta beaktas genom att redovisa "netto bete" eller "skötselersättning" för djuren som betar. </a:t>
          </a:r>
          <a:r>
            <a:rPr lang="sv-SE" sz="1100" b="0" baseline="0">
              <a:solidFill>
                <a:schemeClr val="tx1"/>
              </a:solidFill>
              <a:effectLst/>
              <a:latin typeface="Cambria" panose="02040503050406030204" pitchFamily="18" charset="0"/>
              <a:ea typeface="+mn-ea"/>
              <a:cs typeface="+mn-cs"/>
            </a:rPr>
            <a:t>Om nettot är negativt skriver du 0 kr på intäktsraden och lägger istället till en ny rad under kostnader.</a:t>
          </a:r>
          <a:r>
            <a:rPr lang="sv-SE" sz="1100" b="0" i="0" baseline="0">
              <a:solidFill>
                <a:schemeClr val="tx1"/>
              </a:solidFill>
              <a:effectLst/>
              <a:latin typeface="Cambria" panose="02040503050406030204" pitchFamily="18" charset="0"/>
              <a:ea typeface="+mn-ea"/>
              <a:cs typeface="+mn-cs"/>
            </a:rPr>
            <a:t> Betesnettot redovisar du som en särskild kalkyl för företagets betesmarker och/eller via en ersättningsnivå för uthyrning av betesdjur i området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Observera att investeringsstödet beaktas i fliken investeringskalkyl.</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Livdjur</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Räkna</a:t>
          </a:r>
          <a:r>
            <a:rPr lang="sv-SE" sz="1100" b="0" baseline="0">
              <a:solidFill>
                <a:schemeClr val="tx1"/>
              </a:solidFill>
              <a:effectLst/>
              <a:latin typeface="Cambria" panose="02040503050406030204" pitchFamily="18" charset="0"/>
              <a:ea typeface="+mn-ea"/>
              <a:cs typeface="+mn-cs"/>
            </a:rPr>
            <a:t> endast med de livdjur som köps in och inte kommer från egen uppfödning.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0</xdr:colOff>
      <xdr:row>0</xdr:row>
      <xdr:rowOff>342899</xdr:rowOff>
    </xdr:from>
    <xdr:ext cx="7267575" cy="18602325"/>
    <xdr:sp macro="" textlink="">
      <xdr:nvSpPr>
        <xdr:cNvPr id="4" name="textruta 3"/>
        <xdr:cNvSpPr txBox="1"/>
      </xdr:nvSpPr>
      <xdr:spPr>
        <a:xfrm>
          <a:off x="8277225" y="342899"/>
          <a:ext cx="7267575" cy="1860232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Slaktungnöt</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r>
            <a:rPr lang="sv-SE" sz="1100" i="1">
              <a:solidFill>
                <a:schemeClr val="tx1"/>
              </a:solidFill>
              <a:effectLst/>
              <a:latin typeface="Cambria" panose="02040503050406030204" pitchFamily="18" charset="0"/>
              <a:ea typeface="+mn-ea"/>
              <a:cs typeface="+mn-cs"/>
            </a:rPr>
            <a:t>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kalvens ålder när den kommer till stallet</a:t>
          </a:r>
          <a:r>
            <a:rPr lang="sv-SE" sz="1100" b="0" baseline="0">
              <a:solidFill>
                <a:schemeClr val="tx1"/>
              </a:solidFill>
              <a:effectLst/>
              <a:latin typeface="Cambria" panose="02040503050406030204" pitchFamily="18" charset="0"/>
              <a:ea typeface="+mn-ea"/>
              <a:cs typeface="+mn-cs"/>
            </a:rPr>
            <a:t> och slaktålder.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Kött</a:t>
          </a:r>
        </a:p>
        <a:p>
          <a:pPr eaLnBrk="1" fontAlgn="auto" latinLnBrk="0" hangingPunct="1"/>
          <a:r>
            <a:rPr lang="sv-SE" sz="1100" b="0" baseline="0">
              <a:solidFill>
                <a:schemeClr val="tx1"/>
              </a:solidFill>
              <a:effectLst/>
              <a:latin typeface="Cambria" panose="02040503050406030204" pitchFamily="18" charset="0"/>
              <a:ea typeface="+mn-ea"/>
              <a:cs typeface="+mn-cs"/>
            </a:rPr>
            <a:t>Ange genomsnittlig slaktvikt per djur. Räkna bort de djur som dör och inte skickas till slakt, när du räknar ut den genomsnittliga slaktvikten.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a:effectLst/>
            <a:latin typeface="Cambria"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Undvik dubbelberäkningar genom att djurrelaterade stöd räknas som intäkt i djurkalkylen samtidigt som de minskar kostnaden för egenproducerat foder. För stöd som integrerar djurhållning och odling ska du redovisa hur detta beaktats i noten till kalkylposten.</a:t>
          </a:r>
        </a:p>
        <a:p>
          <a:pPr eaLnBrk="1" fontAlgn="auto" latinLnBrk="0" hangingPunct="1"/>
          <a:endParaRPr lang="sv-SE">
            <a:effectLst/>
            <a:latin typeface="Cambria" panose="02040503050406030204" pitchFamily="18" charset="0"/>
          </a:endParaRPr>
        </a:p>
        <a:p>
          <a:pPr eaLnBrk="1" fontAlgn="auto" latinLnBrk="0" hangingPunct="1"/>
          <a:r>
            <a:rPr lang="sv-SE" sz="1100" b="0" i="0" baseline="0">
              <a:solidFill>
                <a:schemeClr val="tx1"/>
              </a:solidFill>
              <a:effectLst/>
              <a:latin typeface="Cambria" panose="02040503050406030204" pitchFamily="18" charset="0"/>
              <a:ea typeface="+mn-ea"/>
              <a:cs typeface="+mn-cs"/>
            </a:rPr>
            <a:t>Du får räkna med ersättning för att djuret håller betesmarkerna öppna. Detta beaktas genom att redovisa "netto bete" eller "skötselersättning" för djuren som betar. </a:t>
          </a:r>
          <a:r>
            <a:rPr lang="sv-SE" sz="1100" b="0" baseline="0">
              <a:solidFill>
                <a:schemeClr val="tx1"/>
              </a:solidFill>
              <a:effectLst/>
              <a:latin typeface="Cambria" panose="02040503050406030204" pitchFamily="18" charset="0"/>
              <a:ea typeface="+mn-ea"/>
              <a:cs typeface="+mn-cs"/>
            </a:rPr>
            <a:t>Om nettot är negativt skriver du 0 kr på intäktsraden och lägger istället till en ny rad under kostnader.</a:t>
          </a:r>
          <a:r>
            <a:rPr lang="sv-SE" sz="1100" b="0" i="0" baseline="0">
              <a:solidFill>
                <a:schemeClr val="tx1"/>
              </a:solidFill>
              <a:effectLst/>
              <a:latin typeface="Cambria" panose="02040503050406030204" pitchFamily="18" charset="0"/>
              <a:ea typeface="+mn-ea"/>
              <a:cs typeface="+mn-cs"/>
            </a:rPr>
            <a:t> Betesnettot redovisar du som en särskild kalkyl för företagets betesmarker och/eller via en ersättningsnivå för uthyrning av betesdjur i området.</a:t>
          </a:r>
        </a:p>
        <a:p>
          <a:pPr eaLnBrk="1" fontAlgn="auto" latinLnBrk="0" hangingPunct="1"/>
          <a:endParaRPr lang="sv-SE">
            <a:effectLst/>
            <a:latin typeface="Cambria" panose="02040503050406030204" pitchFamily="18" charset="0"/>
          </a:endParaRPr>
        </a:p>
        <a:p>
          <a:pPr eaLnBrk="1" fontAlgn="auto" latinLnBrk="0" hangingPunct="1"/>
          <a:r>
            <a:rPr lang="sv-SE" sz="1100" b="0" i="0" baseline="0">
              <a:solidFill>
                <a:schemeClr val="tx1"/>
              </a:solidFill>
              <a:effectLst/>
              <a:latin typeface="Cambria" panose="02040503050406030204" pitchFamily="18" charset="0"/>
              <a:ea typeface="+mn-ea"/>
              <a:cs typeface="+mn-cs"/>
            </a:rPr>
            <a:t>Observera att investeringsstödet beaktas i fliken investeringskalkyl.</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Kalv</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Här räknar</a:t>
          </a:r>
          <a:r>
            <a:rPr lang="sv-SE" sz="1100" b="0" baseline="0">
              <a:solidFill>
                <a:schemeClr val="tx1"/>
              </a:solidFill>
              <a:effectLst/>
              <a:latin typeface="Cambria" panose="02040503050406030204" pitchFamily="18" charset="0"/>
              <a:ea typeface="+mn-ea"/>
              <a:cs typeface="+mn-cs"/>
            </a:rPr>
            <a:t> du med värdet på kalvarna som sätts in i stallet, oavsett om de köps in eller kommer från den egna produktionen.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190500</xdr:colOff>
      <xdr:row>0</xdr:row>
      <xdr:rowOff>123825</xdr:rowOff>
    </xdr:from>
    <xdr:ext cx="7267575" cy="18402300"/>
    <xdr:sp macro="" textlink="">
      <xdr:nvSpPr>
        <xdr:cNvPr id="5" name="textruta 4"/>
        <xdr:cNvSpPr txBox="1"/>
      </xdr:nvSpPr>
      <xdr:spPr>
        <a:xfrm>
          <a:off x="8092440" y="123825"/>
          <a:ext cx="7267575" cy="1840230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Mjölkkor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eaLnBrk="1" fontAlgn="auto" latinLnBrk="0" hangingPunct="1"/>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Driftkalkylen omfattar de huvudsakliga intäkter och kostnader som kan kopplas till stallet. Av förenklingsskäl ingår inte alla kostnader i kalkylen. Det innebär att vinstmarginalen i praktiken kan bli lägre för företaget som helhet. Till exempel ska den täcka ränta på rörelsekapital (förutom djurkapital),</a:t>
          </a:r>
          <a:r>
            <a:rPr lang="sv-SE" sz="1100" baseline="0">
              <a:solidFill>
                <a:schemeClr val="tx1"/>
              </a:solidFill>
              <a:effectLst/>
              <a:latin typeface="Cambria" panose="02040503050406030204" pitchFamily="18" charset="0"/>
              <a:ea typeface="+mn-ea"/>
              <a:cs typeface="+mn-cs"/>
            </a:rPr>
            <a:t> uppstartskostnader innan stallet är i full drift, administration</a:t>
          </a:r>
          <a:r>
            <a:rPr lang="sv-SE" sz="1100">
              <a:solidFill>
                <a:schemeClr val="tx1"/>
              </a:solidFill>
              <a:effectLst/>
              <a:latin typeface="Cambria" panose="02040503050406030204" pitchFamily="18" charset="0"/>
              <a:ea typeface="+mn-ea"/>
              <a:cs typeface="+mn-cs"/>
            </a:rPr>
            <a:t> och andra gemensamma kostnader för företaget samt vinst.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Levererad mjölk</a:t>
          </a:r>
        </a:p>
        <a:p>
          <a:pPr eaLnBrk="1" fontAlgn="auto" latinLnBrk="0" hangingPunct="1"/>
          <a:r>
            <a:rPr lang="sv-SE" sz="1100" b="0" baseline="0">
              <a:solidFill>
                <a:schemeClr val="tx1"/>
              </a:solidFill>
              <a:effectLst/>
              <a:latin typeface="Cambria" panose="02040503050406030204" pitchFamily="18" charset="0"/>
              <a:ea typeface="+mn-ea"/>
              <a:cs typeface="+mn-cs"/>
            </a:rPr>
            <a:t>Priset för leverad mjölk får i kalkylen inte vara högre än 2,40 kr/kg för konventionell produktion och 3,00 kr/kg för ekologisk produktion. Priset är inklusive efterlikvid.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Du kan räkna med de stöd som kräver att de djur som stallet byggs för finns. Du får ta med så stora arealer som djurantalet som stallet byggs för motiverar. Stöden beräknas till aktuell nivå för år 2017. (Detta är en förenkling i kalkylen, även om stödnivåerna förväntas förändras kommande år.) I noten till varje kalkylpost beskriver du hur beloppet är beräknat och hur stora arealer per djur stöden är beräknade utifrån.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Netto betesmark - Om nettot är negativt skriver du 0 kr här. Lägg istället till en ny rad under kostnader. </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kostnaden för en rekryteringskviga (oavset om den köps in eller kommer från egen uppfödning). (På fliken "Driftkalkyl - Dikor" finns en särskilt kalkyl för att beräkna kostnaden för egen uppfödning av en rekryteringskviga.)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a:solidFill>
              <a:schemeClr val="tx1"/>
            </a:solidFill>
            <a:effectLst/>
            <a:latin typeface="+mn-lt"/>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26</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85"/>
  <sheetViews>
    <sheetView workbookViewId="0">
      <selection activeCell="E4" sqref="E4"/>
    </sheetView>
  </sheetViews>
  <sheetFormatPr defaultColWidth="9.109375" defaultRowHeight="13.8" x14ac:dyDescent="0.25"/>
  <cols>
    <col min="1" max="1" width="38.44140625" style="3" customWidth="1"/>
    <col min="2" max="2" width="16.44140625" style="3" bestFit="1" customWidth="1"/>
    <col min="3" max="3" width="12" style="3" customWidth="1"/>
    <col min="4" max="4" width="10.44140625" style="3" customWidth="1"/>
    <col min="5" max="5" width="14" style="3" bestFit="1" customWidth="1"/>
    <col min="6" max="6" width="16.33203125" style="3" bestFit="1" customWidth="1"/>
    <col min="7" max="16384" width="9.109375" style="3"/>
  </cols>
  <sheetData>
    <row r="1" spans="1:7" ht="27.6" x14ac:dyDescent="0.45">
      <c r="A1" s="2" t="s">
        <v>95</v>
      </c>
    </row>
    <row r="2" spans="1:7" ht="17.399999999999999" x14ac:dyDescent="0.3">
      <c r="A2" s="94" t="s">
        <v>27</v>
      </c>
    </row>
    <row r="3" spans="1:7" ht="14.4" thickBot="1" x14ac:dyDescent="0.3">
      <c r="A3" s="4"/>
    </row>
    <row r="4" spans="1:7" x14ac:dyDescent="0.25">
      <c r="A4" s="5" t="s">
        <v>23</v>
      </c>
      <c r="B4" s="6"/>
      <c r="C4" s="7"/>
      <c r="D4" s="8"/>
      <c r="F4" s="9"/>
      <c r="G4" s="9"/>
    </row>
    <row r="5" spans="1:7" x14ac:dyDescent="0.25">
      <c r="A5" s="83" t="s">
        <v>25</v>
      </c>
      <c r="B5" s="84" t="s">
        <v>24</v>
      </c>
      <c r="C5" s="84"/>
      <c r="D5" s="85"/>
      <c r="F5" s="9"/>
      <c r="G5" s="9"/>
    </row>
    <row r="6" spans="1:7" x14ac:dyDescent="0.25">
      <c r="A6" s="249" t="s">
        <v>237</v>
      </c>
      <c r="B6" s="250" t="s">
        <v>243</v>
      </c>
      <c r="C6" s="107"/>
      <c r="D6" s="108"/>
      <c r="E6" s="9"/>
      <c r="F6" s="11"/>
      <c r="G6" s="9"/>
    </row>
    <row r="7" spans="1:7" ht="27.6" x14ac:dyDescent="0.25">
      <c r="A7" s="249" t="s">
        <v>238</v>
      </c>
      <c r="B7" s="250" t="s">
        <v>244</v>
      </c>
      <c r="C7" s="107"/>
      <c r="D7" s="108"/>
      <c r="E7" s="9"/>
      <c r="F7" s="11"/>
      <c r="G7" s="9"/>
    </row>
    <row r="8" spans="1:7" ht="27.6" x14ac:dyDescent="0.25">
      <c r="A8" s="249" t="s">
        <v>239</v>
      </c>
      <c r="B8" s="250" t="s">
        <v>244</v>
      </c>
      <c r="C8" s="107"/>
      <c r="D8" s="108"/>
      <c r="E8" s="9"/>
      <c r="F8" s="11"/>
      <c r="G8" s="9"/>
    </row>
    <row r="9" spans="1:7" x14ac:dyDescent="0.25">
      <c r="A9" s="249" t="s">
        <v>240</v>
      </c>
      <c r="B9" s="250" t="s">
        <v>243</v>
      </c>
      <c r="C9" s="107"/>
      <c r="D9" s="108"/>
      <c r="E9" s="9"/>
      <c r="F9" s="11"/>
      <c r="G9" s="9"/>
    </row>
    <row r="10" spans="1:7" ht="14.4" thickBot="1" x14ac:dyDescent="0.3">
      <c r="A10" s="109" t="s">
        <v>241</v>
      </c>
      <c r="B10" s="110" t="s">
        <v>242</v>
      </c>
      <c r="C10" s="110"/>
      <c r="D10" s="111"/>
      <c r="E10" s="13"/>
      <c r="F10" s="13"/>
      <c r="G10" s="13"/>
    </row>
    <row r="11" spans="1:7" x14ac:dyDescent="0.25">
      <c r="A11" s="4"/>
    </row>
    <row r="12" spans="1:7" ht="14.4" thickBot="1" x14ac:dyDescent="0.3">
      <c r="A12" s="58"/>
      <c r="B12" s="57"/>
      <c r="C12" s="58"/>
      <c r="D12" s="58"/>
    </row>
    <row r="13" spans="1:7" x14ac:dyDescent="0.25">
      <c r="A13" s="80" t="s">
        <v>101</v>
      </c>
      <c r="B13" s="81" t="s">
        <v>96</v>
      </c>
      <c r="C13" s="82" t="s">
        <v>20</v>
      </c>
      <c r="D13" s="59"/>
    </row>
    <row r="14" spans="1:7" x14ac:dyDescent="0.25">
      <c r="A14" s="63" t="s">
        <v>21</v>
      </c>
      <c r="B14" s="267">
        <f>46+46+46+40+46+46+9</f>
        <v>279</v>
      </c>
      <c r="C14" s="195" t="s">
        <v>31</v>
      </c>
      <c r="D14" s="9" t="s">
        <v>157</v>
      </c>
    </row>
    <row r="15" spans="1:7" x14ac:dyDescent="0.25">
      <c r="A15" s="14" t="s">
        <v>97</v>
      </c>
      <c r="B15" s="112">
        <f>46*102</f>
        <v>4692</v>
      </c>
      <c r="C15" s="12" t="s">
        <v>1</v>
      </c>
    </row>
    <row r="16" spans="1:7" ht="28.5" customHeight="1" x14ac:dyDescent="0.25">
      <c r="A16" s="10" t="s">
        <v>98</v>
      </c>
      <c r="B16" s="251">
        <f>C41</f>
        <v>24</v>
      </c>
      <c r="C16" s="12" t="s">
        <v>1</v>
      </c>
      <c r="D16" s="9"/>
    </row>
    <row r="17" spans="1:6" x14ac:dyDescent="0.25">
      <c r="A17" s="15" t="s">
        <v>99</v>
      </c>
      <c r="B17" s="256">
        <v>5.7</v>
      </c>
      <c r="C17" s="16" t="s">
        <v>1</v>
      </c>
      <c r="D17" s="9" t="s">
        <v>245</v>
      </c>
    </row>
    <row r="18" spans="1:6" ht="14.4" thickBot="1" x14ac:dyDescent="0.3">
      <c r="A18" s="20" t="s">
        <v>0</v>
      </c>
      <c r="B18" s="106">
        <f>SUM(B15:B16)</f>
        <v>4716</v>
      </c>
      <c r="C18" s="70" t="s">
        <v>1</v>
      </c>
      <c r="D18" s="13"/>
      <c r="E18" s="13"/>
      <c r="F18" s="13"/>
    </row>
    <row r="19" spans="1:6" x14ac:dyDescent="0.25">
      <c r="A19" s="80" t="s">
        <v>95</v>
      </c>
      <c r="B19" s="81" t="s">
        <v>96</v>
      </c>
      <c r="C19" s="82" t="s">
        <v>20</v>
      </c>
      <c r="D19" s="59"/>
    </row>
    <row r="20" spans="1:6" ht="27.6" x14ac:dyDescent="0.25">
      <c r="A20" s="63" t="s">
        <v>132</v>
      </c>
      <c r="B20" s="230">
        <f>Investeringskalkyl!F65</f>
        <v>5712260</v>
      </c>
      <c r="C20" s="64" t="s">
        <v>35</v>
      </c>
      <c r="D20" s="59"/>
    </row>
    <row r="21" spans="1:6" x14ac:dyDescent="0.25">
      <c r="A21" s="63" t="s">
        <v>135</v>
      </c>
      <c r="B21" s="231">
        <f>IF(Investeringskalkyl!$C$14="suggor",'Driftkalkyl - Smågrisar'!$B$8)+IF(Investeringskalkyl!$C$14="slaktgrisar",'Driftkalkyl - Slaktgrisar'!$B$8)+IF(Investeringskalkyl!$C$14="tackor",'Driftkalkyl - Lamm'!$B$8)+IF(Investeringskalkyl!$C$14="dikor",'Driftkalkyl - Dikor'!$B$9)+IF(Investeringskalkyl!$C$14="slaktungnöt",'Driftkalkyl - Slaktungnöt'!$B$11)+IF(Investeringskalkyl!$C$14="mjölkkor",'Driftkalkyl - Mjölkkor'!B7)</f>
        <v>377244.61817106372</v>
      </c>
      <c r="C21" s="64" t="s">
        <v>77</v>
      </c>
      <c r="D21" s="59"/>
      <c r="E21" s="92"/>
      <c r="F21" s="93"/>
    </row>
    <row r="22" spans="1:6" ht="27.6" x14ac:dyDescent="0.25">
      <c r="A22" s="63" t="s">
        <v>136</v>
      </c>
      <c r="B22" s="231">
        <f>$B$21+(IF(Investeringskalkyl!$C$14="suggor",'Driftkalkyl - Smågrisar'!$H$49)+IF(Investeringskalkyl!$C$14="slaktgrisar",'Driftkalkyl - Slaktgrisar'!$G$44)+IF(Investeringskalkyl!$C$14="tackor",'Driftkalkyl - Lamm'!$H$50)+IF(Investeringskalkyl!$C$14="dikor",'Driftkalkyl - Dikor'!$H$58)+IF(Investeringskalkyl!$C$14="slaktungnöt",'Driftkalkyl - Slaktungnöt'!$G$53)+IF(Investeringskalkyl!$C$14="mjölkkor",'Driftkalkyl - Mjölkkor'!$G$55))</f>
        <v>909269.948840625</v>
      </c>
      <c r="C22" s="64" t="s">
        <v>77</v>
      </c>
      <c r="D22" s="59"/>
    </row>
    <row r="23" spans="1:6" ht="27.6" x14ac:dyDescent="0.25">
      <c r="A23" s="63" t="s">
        <v>80</v>
      </c>
      <c r="B23" s="196">
        <v>0.05</v>
      </c>
      <c r="C23" s="64"/>
      <c r="D23" s="59"/>
    </row>
    <row r="24" spans="1:6" x14ac:dyDescent="0.25">
      <c r="A24" s="63" t="s">
        <v>81</v>
      </c>
      <c r="B24" s="196">
        <v>0.01</v>
      </c>
      <c r="C24" s="64" t="s">
        <v>82</v>
      </c>
      <c r="D24" s="59"/>
    </row>
    <row r="25" spans="1:6" x14ac:dyDescent="0.25">
      <c r="A25" s="63" t="s">
        <v>83</v>
      </c>
      <c r="B25" s="95">
        <f>(1+$B$23)/(1+$B$24)-1</f>
        <v>3.9603960396039639E-2</v>
      </c>
      <c r="C25" s="64"/>
      <c r="D25" s="59"/>
    </row>
    <row r="26" spans="1:6" x14ac:dyDescent="0.25">
      <c r="A26" s="63" t="s">
        <v>75</v>
      </c>
      <c r="B26" s="68">
        <v>15</v>
      </c>
      <c r="C26" s="64" t="s">
        <v>76</v>
      </c>
      <c r="D26" s="59"/>
    </row>
    <row r="27" spans="1:6" ht="27.6" x14ac:dyDescent="0.25">
      <c r="A27" s="63" t="s">
        <v>208</v>
      </c>
      <c r="B27" s="104">
        <f>($B$22*((1-(1+$B$25)^(-$B$26))/$B$25))</f>
        <v>10137669.405772695</v>
      </c>
      <c r="C27" s="64" t="s">
        <v>77</v>
      </c>
      <c r="D27" s="59"/>
    </row>
    <row r="28" spans="1:6" ht="14.4" thickBot="1" x14ac:dyDescent="0.3">
      <c r="A28" s="71" t="s">
        <v>129</v>
      </c>
      <c r="B28" s="105">
        <f>-$B$20+($B$22*((1-(1+$B$25)^(-$B$26))/$B$25))</f>
        <v>4425409.4057726953</v>
      </c>
      <c r="C28" s="72" t="s">
        <v>35</v>
      </c>
      <c r="D28" s="59"/>
    </row>
    <row r="29" spans="1:6" x14ac:dyDescent="0.25">
      <c r="A29" s="69"/>
      <c r="B29" s="91"/>
      <c r="C29" s="66"/>
      <c r="D29" s="59"/>
    </row>
    <row r="30" spans="1:6" ht="14.4" thickBot="1" x14ac:dyDescent="0.3">
      <c r="A30" s="69"/>
      <c r="B30" s="69"/>
      <c r="C30" s="66"/>
      <c r="D30" s="59"/>
    </row>
    <row r="31" spans="1:6" ht="15" x14ac:dyDescent="0.25">
      <c r="A31" s="77" t="s">
        <v>100</v>
      </c>
      <c r="B31" s="78"/>
      <c r="C31" s="78"/>
      <c r="D31" s="78"/>
      <c r="E31" s="78"/>
      <c r="F31" s="79"/>
    </row>
    <row r="32" spans="1:6" s="17" customFormat="1" ht="15" x14ac:dyDescent="0.25">
      <c r="A32" s="73" t="s">
        <v>2</v>
      </c>
      <c r="B32" s="74" t="s">
        <v>6</v>
      </c>
      <c r="C32" s="75" t="s">
        <v>5</v>
      </c>
      <c r="D32" s="75" t="s">
        <v>20</v>
      </c>
      <c r="E32" s="75" t="s">
        <v>4</v>
      </c>
      <c r="F32" s="76" t="s">
        <v>3</v>
      </c>
    </row>
    <row r="33" spans="1:6" x14ac:dyDescent="0.25">
      <c r="A33" s="18" t="s">
        <v>7</v>
      </c>
      <c r="B33" s="113"/>
      <c r="C33" s="114"/>
      <c r="D33" s="114"/>
      <c r="E33" s="115"/>
      <c r="F33" s="87"/>
    </row>
    <row r="34" spans="1:6" ht="27.6" x14ac:dyDescent="0.25">
      <c r="A34" s="259" t="s">
        <v>235</v>
      </c>
      <c r="B34" s="113">
        <v>1</v>
      </c>
      <c r="C34" s="114">
        <v>6700</v>
      </c>
      <c r="D34" s="114" t="s">
        <v>225</v>
      </c>
      <c r="E34" s="115">
        <f>1031896/C34</f>
        <v>154.01432835820896</v>
      </c>
      <c r="F34" s="96">
        <f t="shared" ref="F34:F49" si="0">C34*E34</f>
        <v>1031896</v>
      </c>
    </row>
    <row r="35" spans="1:6" x14ac:dyDescent="0.25">
      <c r="A35" s="20" t="s">
        <v>16</v>
      </c>
      <c r="B35" s="116"/>
      <c r="C35" s="117"/>
      <c r="D35" s="117"/>
      <c r="E35" s="118"/>
      <c r="F35" s="97">
        <f>SUM(F34:F34)</f>
        <v>1031896</v>
      </c>
    </row>
    <row r="36" spans="1:6" x14ac:dyDescent="0.25">
      <c r="A36" s="24" t="s">
        <v>8</v>
      </c>
      <c r="B36" s="119"/>
      <c r="C36" s="120"/>
      <c r="D36" s="120"/>
      <c r="E36" s="121"/>
      <c r="F36" s="87"/>
    </row>
    <row r="37" spans="1:6" x14ac:dyDescent="0.25">
      <c r="A37" s="14" t="s">
        <v>9</v>
      </c>
      <c r="B37" s="113"/>
      <c r="C37" s="114"/>
      <c r="D37" s="114"/>
      <c r="E37" s="115"/>
      <c r="F37" s="258"/>
    </row>
    <row r="38" spans="1:6" x14ac:dyDescent="0.25">
      <c r="A38" s="246" t="s">
        <v>228</v>
      </c>
      <c r="B38" s="45">
        <v>2</v>
      </c>
      <c r="C38" s="114">
        <v>4692</v>
      </c>
      <c r="D38" s="114" t="s">
        <v>225</v>
      </c>
      <c r="E38" s="115">
        <f>681783/C38</f>
        <v>145.30754475703324</v>
      </c>
      <c r="F38" s="96">
        <f t="shared" si="0"/>
        <v>681783</v>
      </c>
    </row>
    <row r="39" spans="1:6" x14ac:dyDescent="0.25">
      <c r="A39" s="246" t="s">
        <v>229</v>
      </c>
      <c r="B39" s="45">
        <v>3</v>
      </c>
      <c r="C39" s="114">
        <v>4692</v>
      </c>
      <c r="D39" s="114" t="s">
        <v>225</v>
      </c>
      <c r="E39" s="115">
        <f>(2833763+160000)/C39</f>
        <v>638.05690537084399</v>
      </c>
      <c r="F39" s="96">
        <f t="shared" si="0"/>
        <v>2993763</v>
      </c>
    </row>
    <row r="40" spans="1:6" x14ac:dyDescent="0.25">
      <c r="A40" s="246" t="s">
        <v>230</v>
      </c>
      <c r="B40" s="45">
        <v>4</v>
      </c>
      <c r="C40" s="114">
        <v>4692</v>
      </c>
      <c r="D40" s="114" t="s">
        <v>225</v>
      </c>
      <c r="E40" s="115">
        <f>370721/C40</f>
        <v>79.0112958226769</v>
      </c>
      <c r="F40" s="96">
        <f t="shared" si="0"/>
        <v>370721</v>
      </c>
    </row>
    <row r="41" spans="1:6" x14ac:dyDescent="0.25">
      <c r="A41" s="14" t="s">
        <v>248</v>
      </c>
      <c r="B41" s="45">
        <v>5</v>
      </c>
      <c r="C41" s="248">
        <v>24</v>
      </c>
      <c r="D41" s="114" t="s">
        <v>225</v>
      </c>
      <c r="E41" s="115">
        <f>140218/C41</f>
        <v>5842.416666666667</v>
      </c>
      <c r="F41" s="96">
        <f t="shared" si="0"/>
        <v>140218</v>
      </c>
    </row>
    <row r="42" spans="1:6" x14ac:dyDescent="0.25">
      <c r="A42" s="20" t="s">
        <v>16</v>
      </c>
      <c r="B42" s="116"/>
      <c r="C42" s="117"/>
      <c r="D42" s="117"/>
      <c r="E42" s="118"/>
      <c r="F42" s="97">
        <f>SUM(F37:F41)</f>
        <v>4186485</v>
      </c>
    </row>
    <row r="43" spans="1:6" x14ac:dyDescent="0.25">
      <c r="A43" s="24" t="s">
        <v>10</v>
      </c>
      <c r="B43" s="119"/>
      <c r="C43" s="120"/>
      <c r="D43" s="120"/>
      <c r="E43" s="121"/>
      <c r="F43" s="87"/>
    </row>
    <row r="44" spans="1:6" x14ac:dyDescent="0.25">
      <c r="A44" s="14" t="s">
        <v>11</v>
      </c>
      <c r="B44" s="265">
        <v>6</v>
      </c>
      <c r="C44" s="114">
        <v>4692</v>
      </c>
      <c r="D44" s="114" t="s">
        <v>225</v>
      </c>
      <c r="E44" s="115">
        <f>41236/C44</f>
        <v>8.7885763000852517</v>
      </c>
      <c r="F44" s="96">
        <f t="shared" si="0"/>
        <v>41236</v>
      </c>
    </row>
    <row r="45" spans="1:6" x14ac:dyDescent="0.25">
      <c r="A45" s="14" t="s">
        <v>12</v>
      </c>
      <c r="B45" s="45">
        <v>7</v>
      </c>
      <c r="C45" s="114">
        <v>4692</v>
      </c>
      <c r="D45" s="114" t="s">
        <v>225</v>
      </c>
      <c r="E45" s="115">
        <f>315300/C45</f>
        <v>67.199488491048598</v>
      </c>
      <c r="F45" s="96">
        <f t="shared" si="0"/>
        <v>315300</v>
      </c>
    </row>
    <row r="46" spans="1:6" x14ac:dyDescent="0.25">
      <c r="A46" s="20" t="s">
        <v>17</v>
      </c>
      <c r="B46" s="116"/>
      <c r="C46" s="117"/>
      <c r="D46" s="117"/>
      <c r="E46" s="118"/>
      <c r="F46" s="97">
        <f>SUM(F44:F45)</f>
        <v>356536</v>
      </c>
    </row>
    <row r="47" spans="1:6" x14ac:dyDescent="0.25">
      <c r="A47" s="24" t="s">
        <v>15</v>
      </c>
      <c r="B47" s="119"/>
      <c r="C47" s="120"/>
      <c r="D47" s="120"/>
      <c r="E47" s="121"/>
      <c r="F47" s="87"/>
    </row>
    <row r="48" spans="1:6" x14ac:dyDescent="0.25">
      <c r="A48" s="14" t="s">
        <v>226</v>
      </c>
      <c r="B48" s="45">
        <v>8</v>
      </c>
      <c r="C48" s="114">
        <v>4692</v>
      </c>
      <c r="D48" s="114" t="s">
        <v>225</v>
      </c>
      <c r="E48" s="115">
        <f>618667/C48</f>
        <v>131.85571184995737</v>
      </c>
      <c r="F48" s="96">
        <f t="shared" si="0"/>
        <v>618667</v>
      </c>
    </row>
    <row r="49" spans="1:6" x14ac:dyDescent="0.25">
      <c r="A49" s="14" t="s">
        <v>227</v>
      </c>
      <c r="B49" s="45">
        <v>9</v>
      </c>
      <c r="C49" s="114">
        <v>4692</v>
      </c>
      <c r="D49" s="114" t="s">
        <v>225</v>
      </c>
      <c r="E49" s="115">
        <f>88000/C49</f>
        <v>18.755328218243818</v>
      </c>
      <c r="F49" s="96">
        <f t="shared" si="0"/>
        <v>88000</v>
      </c>
    </row>
    <row r="50" spans="1:6" x14ac:dyDescent="0.25">
      <c r="A50" s="20" t="s">
        <v>18</v>
      </c>
      <c r="B50" s="116"/>
      <c r="C50" s="117"/>
      <c r="D50" s="117"/>
      <c r="E50" s="118"/>
      <c r="F50" s="97">
        <f>SUM(F48:F49)</f>
        <v>706667</v>
      </c>
    </row>
    <row r="51" spans="1:6" x14ac:dyDescent="0.25">
      <c r="A51" s="24" t="s">
        <v>13</v>
      </c>
      <c r="B51" s="119"/>
      <c r="C51" s="120"/>
      <c r="D51" s="120"/>
      <c r="E51" s="121"/>
      <c r="F51" s="88"/>
    </row>
    <row r="52" spans="1:6" x14ac:dyDescent="0.25">
      <c r="A52" s="14" t="s">
        <v>253</v>
      </c>
      <c r="B52" s="45">
        <v>10</v>
      </c>
      <c r="C52" s="107">
        <v>900</v>
      </c>
      <c r="D52" s="114" t="s">
        <v>225</v>
      </c>
      <c r="E52" s="115">
        <f>169346/C52</f>
        <v>188.16222222222223</v>
      </c>
      <c r="F52" s="96">
        <f t="shared" ref="F52" si="1">C52*E52</f>
        <v>169346</v>
      </c>
    </row>
    <row r="53" spans="1:6" x14ac:dyDescent="0.25">
      <c r="A53" s="20" t="s">
        <v>19</v>
      </c>
      <c r="B53" s="116"/>
      <c r="C53" s="117"/>
      <c r="D53" s="117"/>
      <c r="E53" s="118"/>
      <c r="F53" s="97">
        <f>SUM(F52:F52)</f>
        <v>169346</v>
      </c>
    </row>
    <row r="54" spans="1:6" x14ac:dyDescent="0.25">
      <c r="A54" s="24" t="s">
        <v>249</v>
      </c>
      <c r="B54" s="119"/>
      <c r="C54" s="260"/>
      <c r="D54" s="260"/>
      <c r="E54" s="261"/>
      <c r="F54" s="262"/>
    </row>
    <row r="55" spans="1:6" x14ac:dyDescent="0.25">
      <c r="A55" s="14" t="s">
        <v>250</v>
      </c>
      <c r="B55" s="45">
        <v>11</v>
      </c>
      <c r="C55" s="263">
        <v>1</v>
      </c>
      <c r="D55" s="263"/>
      <c r="E55" s="264">
        <v>190019</v>
      </c>
      <c r="F55" s="96">
        <f t="shared" ref="F55" si="2">C55*E55</f>
        <v>190019</v>
      </c>
    </row>
    <row r="56" spans="1:6" x14ac:dyDescent="0.25">
      <c r="A56" s="20" t="s">
        <v>251</v>
      </c>
      <c r="B56" s="116"/>
      <c r="C56" s="117"/>
      <c r="D56" s="117"/>
      <c r="E56" s="118"/>
      <c r="F56" s="97">
        <f>SUM(F55:F55)</f>
        <v>190019</v>
      </c>
    </row>
    <row r="57" spans="1:6" x14ac:dyDescent="0.25">
      <c r="A57" s="24" t="s">
        <v>252</v>
      </c>
      <c r="B57" s="119"/>
      <c r="C57" s="120"/>
      <c r="D57" s="120"/>
      <c r="E57" s="121"/>
      <c r="F57" s="88"/>
    </row>
    <row r="58" spans="1:6" x14ac:dyDescent="0.25">
      <c r="A58" s="14" t="s">
        <v>14</v>
      </c>
      <c r="B58" s="45">
        <v>12</v>
      </c>
      <c r="C58" s="114">
        <v>140</v>
      </c>
      <c r="D58" s="114" t="s">
        <v>56</v>
      </c>
      <c r="E58" s="115">
        <v>360</v>
      </c>
      <c r="F58" s="96">
        <f>C58*E58</f>
        <v>50400</v>
      </c>
    </row>
    <row r="59" spans="1:6" x14ac:dyDescent="0.25">
      <c r="A59" s="14" t="s">
        <v>236</v>
      </c>
      <c r="B59" s="45">
        <v>13</v>
      </c>
      <c r="C59" s="114"/>
      <c r="D59" s="114"/>
      <c r="E59" s="115"/>
      <c r="F59" s="96">
        <v>30000</v>
      </c>
    </row>
    <row r="60" spans="1:6" x14ac:dyDescent="0.25">
      <c r="A60" s="14" t="s">
        <v>247</v>
      </c>
      <c r="B60" s="45">
        <v>14</v>
      </c>
      <c r="C60" s="114"/>
      <c r="D60" s="114"/>
      <c r="E60" s="115"/>
      <c r="F60" s="96">
        <v>46775</v>
      </c>
    </row>
    <row r="61" spans="1:6" x14ac:dyDescent="0.25">
      <c r="A61" s="14" t="s">
        <v>85</v>
      </c>
      <c r="B61" s="45">
        <v>15</v>
      </c>
      <c r="C61" s="103">
        <f>$B$23</f>
        <v>0.05</v>
      </c>
      <c r="D61" s="114"/>
      <c r="E61" s="115">
        <f>144136/C61</f>
        <v>2882720</v>
      </c>
      <c r="F61" s="96">
        <f>C61*E61</f>
        <v>144136</v>
      </c>
    </row>
    <row r="62" spans="1:6" x14ac:dyDescent="0.25">
      <c r="A62" s="20" t="s">
        <v>84</v>
      </c>
      <c r="B62" s="21"/>
      <c r="C62" s="22"/>
      <c r="D62" s="22"/>
      <c r="E62" s="23"/>
      <c r="F62" s="97">
        <f>SUM(F58:F61)</f>
        <v>271311</v>
      </c>
    </row>
    <row r="63" spans="1:6" x14ac:dyDescent="0.25">
      <c r="A63" s="26" t="s">
        <v>209</v>
      </c>
      <c r="B63" s="25"/>
      <c r="C63" s="27"/>
      <c r="D63" s="27"/>
      <c r="E63" s="28"/>
      <c r="F63" s="98">
        <f>$F$35+$F$42+$F$46+$F$50+$F$53+$F$56+$F$62</f>
        <v>6912260</v>
      </c>
    </row>
    <row r="64" spans="1:6" s="50" customFormat="1" x14ac:dyDescent="0.25">
      <c r="A64" s="46" t="s">
        <v>69</v>
      </c>
      <c r="B64" s="47"/>
      <c r="C64" s="48"/>
      <c r="D64" s="48"/>
      <c r="E64" s="49"/>
      <c r="F64" s="99">
        <f>IF(($F$63*0.4)&lt;1200000,-$F$63*0.4,-1200000)</f>
        <v>-1200000</v>
      </c>
    </row>
    <row r="65" spans="1:6" s="9" customFormat="1" x14ac:dyDescent="0.25">
      <c r="A65" s="60" t="s">
        <v>78</v>
      </c>
      <c r="B65" s="21"/>
      <c r="C65" s="61"/>
      <c r="D65" s="61"/>
      <c r="E65" s="62"/>
      <c r="F65" s="100">
        <f>$F$63+$F$64</f>
        <v>5712260</v>
      </c>
    </row>
    <row r="66" spans="1:6" s="9" customFormat="1" x14ac:dyDescent="0.25">
      <c r="A66" s="29" t="s">
        <v>70</v>
      </c>
      <c r="B66" s="19"/>
      <c r="C66" s="30"/>
      <c r="D66" s="30"/>
      <c r="E66" s="31"/>
      <c r="F66" s="101">
        <f>$F$63/$B$14</f>
        <v>24775.125448028673</v>
      </c>
    </row>
    <row r="67" spans="1:6" x14ac:dyDescent="0.25">
      <c r="A67" s="29" t="s">
        <v>79</v>
      </c>
      <c r="B67" s="19"/>
      <c r="C67" s="30"/>
      <c r="D67" s="30"/>
      <c r="E67" s="31"/>
      <c r="F67" s="101">
        <f>($F$63+$F$64)/$B$14</f>
        <v>20474.05017921147</v>
      </c>
    </row>
    <row r="68" spans="1:6" x14ac:dyDescent="0.25">
      <c r="A68" s="32" t="s">
        <v>22</v>
      </c>
      <c r="B68" s="266">
        <v>16</v>
      </c>
      <c r="C68" s="197"/>
      <c r="D68" s="197"/>
      <c r="E68" s="198"/>
      <c r="F68" s="199">
        <v>48605</v>
      </c>
    </row>
    <row r="69" spans="1:6" ht="14.4" thickBot="1" x14ac:dyDescent="0.3">
      <c r="A69" s="33" t="s">
        <v>210</v>
      </c>
      <c r="B69" s="34"/>
      <c r="C69" s="35"/>
      <c r="D69" s="35"/>
      <c r="E69" s="35"/>
      <c r="F69" s="102">
        <f>$F$63+$F$68</f>
        <v>6960865</v>
      </c>
    </row>
    <row r="73" spans="1:6" x14ac:dyDescent="0.25">
      <c r="B73" s="257"/>
      <c r="C73" s="257"/>
      <c r="D73" s="257"/>
      <c r="E73" s="257"/>
      <c r="F73" s="257"/>
    </row>
    <row r="74" spans="1:6" x14ac:dyDescent="0.25">
      <c r="A74" s="63"/>
      <c r="B74" s="65"/>
      <c r="C74" s="65"/>
      <c r="D74" s="59"/>
      <c r="E74" s="257"/>
      <c r="F74" s="257"/>
    </row>
    <row r="75" spans="1:6" x14ac:dyDescent="0.25">
      <c r="B75" s="257"/>
      <c r="C75" s="257"/>
      <c r="D75" s="257"/>
      <c r="E75" s="257"/>
      <c r="F75" s="257"/>
    </row>
    <row r="76" spans="1:6" x14ac:dyDescent="0.25">
      <c r="B76" s="257"/>
      <c r="C76" s="257"/>
      <c r="D76" s="257"/>
      <c r="E76" s="257"/>
      <c r="F76" s="257"/>
    </row>
    <row r="77" spans="1:6" x14ac:dyDescent="0.25">
      <c r="B77" s="257"/>
      <c r="C77" s="257"/>
      <c r="D77" s="257"/>
      <c r="E77" s="257"/>
      <c r="F77" s="257"/>
    </row>
    <row r="78" spans="1:6" x14ac:dyDescent="0.25">
      <c r="B78" s="257"/>
      <c r="C78" s="257"/>
      <c r="D78" s="257"/>
      <c r="E78" s="257"/>
      <c r="F78" s="257"/>
    </row>
    <row r="79" spans="1:6" x14ac:dyDescent="0.25">
      <c r="B79" s="257"/>
      <c r="C79" s="257"/>
      <c r="D79" s="257"/>
      <c r="E79" s="257"/>
      <c r="F79" s="257"/>
    </row>
    <row r="80" spans="1:6" x14ac:dyDescent="0.25">
      <c r="B80" s="257"/>
      <c r="C80" s="257"/>
      <c r="D80" s="257"/>
      <c r="E80" s="257"/>
      <c r="F80" s="257"/>
    </row>
    <row r="81" spans="2:6" x14ac:dyDescent="0.25">
      <c r="B81" s="257"/>
      <c r="C81" s="257"/>
      <c r="D81" s="257"/>
      <c r="E81" s="257"/>
      <c r="F81" s="257"/>
    </row>
    <row r="82" spans="2:6" x14ac:dyDescent="0.25">
      <c r="B82" s="257"/>
      <c r="C82" s="257"/>
      <c r="D82" s="257"/>
      <c r="E82" s="257"/>
      <c r="F82" s="257"/>
    </row>
    <row r="83" spans="2:6" x14ac:dyDescent="0.25">
      <c r="B83" s="257"/>
      <c r="C83" s="257"/>
      <c r="D83" s="257"/>
      <c r="E83" s="257"/>
      <c r="F83" s="257"/>
    </row>
    <row r="84" spans="2:6" x14ac:dyDescent="0.25">
      <c r="B84" s="257"/>
      <c r="C84" s="257"/>
      <c r="D84" s="257"/>
      <c r="E84" s="257"/>
      <c r="F84" s="257"/>
    </row>
    <row r="85" spans="2:6" x14ac:dyDescent="0.25">
      <c r="B85" s="257"/>
      <c r="C85" s="257"/>
      <c r="D85" s="257"/>
      <c r="E85" s="257"/>
      <c r="F85" s="257"/>
    </row>
  </sheetData>
  <dataValidations disablePrompts="1"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Y83"/>
  <sheetViews>
    <sheetView tabSelected="1" topLeftCell="A3" zoomScale="86" zoomScaleNormal="86" workbookViewId="0">
      <selection activeCell="E3" activeCellId="1" sqref="E3 E3"/>
    </sheetView>
  </sheetViews>
  <sheetFormatPr defaultColWidth="9.109375" defaultRowHeight="13.8" x14ac:dyDescent="0.25"/>
  <cols>
    <col min="1" max="1" width="30.44140625" style="146" customWidth="1"/>
    <col min="2" max="2" width="14.109375" style="146" customWidth="1"/>
    <col min="3" max="3" width="13.109375" style="146" bestFit="1" customWidth="1"/>
    <col min="4" max="4" width="9.109375" style="146" customWidth="1"/>
    <col min="5" max="5" width="15.33203125" style="146" customWidth="1"/>
    <col min="6" max="6" width="14.44140625" style="146" bestFit="1" customWidth="1"/>
    <col min="7" max="7" width="14.88671875" style="146" customWidth="1"/>
    <col min="8" max="8" width="14.44140625" style="146" bestFit="1" customWidth="1"/>
    <col min="9" max="9" width="3" style="146" customWidth="1"/>
    <col min="10" max="10" width="19.6640625" style="146" customWidth="1"/>
    <col min="11" max="11" width="5.109375" style="146" customWidth="1"/>
    <col min="12" max="12" width="10.6640625" style="146" customWidth="1"/>
    <col min="13" max="13" width="7.88671875" style="146" customWidth="1"/>
    <col min="14" max="14" width="12.6640625" style="146" bestFit="1" customWidth="1"/>
    <col min="15" max="15" width="12.109375" style="146" customWidth="1"/>
    <col min="16" max="26" width="9.109375" style="146"/>
    <col min="27" max="27" width="9.109375" style="146" customWidth="1"/>
    <col min="28" max="16384" width="9.109375" style="146"/>
  </cols>
  <sheetData>
    <row r="1" spans="1:36" ht="27.6" x14ac:dyDescent="0.45">
      <c r="A1" s="154" t="s">
        <v>105</v>
      </c>
    </row>
    <row r="2" spans="1:36" ht="14.4" thickBot="1" x14ac:dyDescent="0.3"/>
    <row r="3" spans="1:36" x14ac:dyDescent="0.25">
      <c r="A3" s="155" t="s">
        <v>60</v>
      </c>
      <c r="B3" s="156"/>
      <c r="C3" s="157"/>
    </row>
    <row r="4" spans="1:36" x14ac:dyDescent="0.25">
      <c r="A4" s="214" t="s">
        <v>21</v>
      </c>
      <c r="B4" s="158">
        <f>IF(Investeringskalkyl!$C$14="dikor",Investeringskalkyl!$B$14,0)</f>
        <v>279</v>
      </c>
      <c r="C4" s="159" t="s">
        <v>31</v>
      </c>
      <c r="D4" s="160"/>
    </row>
    <row r="5" spans="1:36" ht="15.75" customHeight="1" x14ac:dyDescent="0.25">
      <c r="A5" s="215" t="s">
        <v>191</v>
      </c>
      <c r="B5" s="236">
        <v>0.9</v>
      </c>
      <c r="C5" s="159"/>
      <c r="D5" s="160"/>
    </row>
    <row r="6" spans="1:36" ht="15.75" customHeight="1" thickBot="1" x14ac:dyDescent="0.3">
      <c r="A6" s="216" t="s">
        <v>176</v>
      </c>
      <c r="B6" s="207">
        <f>25-7</f>
        <v>18</v>
      </c>
      <c r="C6" s="162" t="s">
        <v>163</v>
      </c>
      <c r="D6" s="160"/>
    </row>
    <row r="7" spans="1:36" ht="14.4" thickBot="1" x14ac:dyDescent="0.3">
      <c r="A7" s="201"/>
    </row>
    <row r="8" spans="1:36" x14ac:dyDescent="0.25">
      <c r="A8" s="210" t="s">
        <v>66</v>
      </c>
      <c r="B8" s="142"/>
    </row>
    <row r="9" spans="1:36" ht="14.4" thickBot="1" x14ac:dyDescent="0.3">
      <c r="A9" s="127" t="s">
        <v>137</v>
      </c>
      <c r="B9" s="90">
        <f>$B$15*$B$4</f>
        <v>377244.61817106372</v>
      </c>
    </row>
    <row r="10" spans="1:36" x14ac:dyDescent="0.25">
      <c r="A10" s="128" t="s">
        <v>138</v>
      </c>
      <c r="B10" s="129">
        <f>$B$9/$H$28</f>
        <v>0.10718583076849217</v>
      </c>
    </row>
    <row r="11" spans="1:36" ht="14.4" thickBot="1" x14ac:dyDescent="0.3">
      <c r="A11" s="130" t="s">
        <v>155</v>
      </c>
      <c r="B11" s="131">
        <f>$H$62+$H$63+($O$62+$O$63)*12/$B$6</f>
        <v>529830.66666666663</v>
      </c>
      <c r="E11" s="146" t="s">
        <v>231</v>
      </c>
      <c r="F11" s="146">
        <v>27</v>
      </c>
      <c r="G11" s="146" t="s">
        <v>232</v>
      </c>
    </row>
    <row r="12" spans="1:36" x14ac:dyDescent="0.25">
      <c r="A12" s="210" t="s">
        <v>177</v>
      </c>
      <c r="B12" s="202"/>
      <c r="F12" s="146">
        <v>25</v>
      </c>
      <c r="G12" s="146" t="s">
        <v>233</v>
      </c>
    </row>
    <row r="13" spans="1:36" ht="18.75" customHeight="1" x14ac:dyDescent="0.25">
      <c r="A13" s="132" t="s">
        <v>91</v>
      </c>
      <c r="B13" s="89">
        <f>$F$28-$F$51</f>
        <v>6315.7354372983873</v>
      </c>
      <c r="E13" s="146" t="s">
        <v>186</v>
      </c>
      <c r="F13" s="146">
        <v>40</v>
      </c>
      <c r="G13" s="146" t="s">
        <v>234</v>
      </c>
    </row>
    <row r="14" spans="1:36" x14ac:dyDescent="0.25">
      <c r="A14" s="132" t="s">
        <v>92</v>
      </c>
      <c r="B14" s="89">
        <f>$F$28-$F$51-$F$57</f>
        <v>5338.3223972782262</v>
      </c>
    </row>
    <row r="15" spans="1:36" ht="14.4" thickBot="1" x14ac:dyDescent="0.3">
      <c r="A15" s="127" t="s">
        <v>93</v>
      </c>
      <c r="B15" s="90">
        <f>$F$28-$F$51-$F57-$F$65</f>
        <v>1352.1312479249596</v>
      </c>
      <c r="D15" s="244"/>
    </row>
    <row r="16" spans="1:36" s="148" customFormat="1" ht="12.15" customHeight="1" x14ac:dyDescent="0.25">
      <c r="A16" s="125"/>
      <c r="B16" s="123"/>
      <c r="C16" s="143"/>
      <c r="D16" s="143"/>
      <c r="E16" s="144"/>
      <c r="F16" s="144"/>
      <c r="G16" s="146"/>
      <c r="H16" s="145"/>
      <c r="I16" s="146"/>
      <c r="J16" s="146"/>
      <c r="K16" s="146"/>
      <c r="L16" s="147"/>
      <c r="N16" s="145"/>
      <c r="O16" s="145"/>
      <c r="P16" s="145"/>
      <c r="Q16" s="145"/>
      <c r="R16" s="145"/>
      <c r="S16" s="145"/>
      <c r="T16" s="145"/>
      <c r="U16" s="145"/>
      <c r="X16" s="149"/>
      <c r="Y16" s="149"/>
      <c r="Z16" s="149"/>
      <c r="AA16" s="149"/>
      <c r="AB16" s="150"/>
      <c r="AC16" s="150"/>
      <c r="AD16" s="150"/>
      <c r="AE16" s="150"/>
      <c r="AF16" s="150"/>
      <c r="AG16" s="150"/>
      <c r="AH16" s="150"/>
      <c r="AI16" s="150"/>
      <c r="AJ16" s="150"/>
    </row>
    <row r="17" spans="1:51" s="148" customFormat="1" ht="20.399999999999999" x14ac:dyDescent="0.35">
      <c r="A17" s="217" t="s">
        <v>246</v>
      </c>
      <c r="B17" s="152"/>
      <c r="C17" s="153"/>
      <c r="D17" s="153"/>
      <c r="E17" s="153"/>
      <c r="F17" s="153"/>
      <c r="G17" s="146"/>
      <c r="H17" s="145"/>
      <c r="I17" s="146"/>
      <c r="J17" s="217" t="s">
        <v>178</v>
      </c>
      <c r="K17" s="146"/>
      <c r="L17" s="147"/>
      <c r="N17" s="145"/>
      <c r="O17" s="145"/>
      <c r="P17" s="145"/>
      <c r="Q17" s="145"/>
      <c r="R17" s="145"/>
      <c r="S17" s="145"/>
      <c r="T17" s="145"/>
      <c r="U17" s="145"/>
      <c r="X17" s="149"/>
      <c r="Y17" s="149"/>
      <c r="Z17" s="149"/>
      <c r="AA17" s="149"/>
      <c r="AB17" s="150"/>
      <c r="AC17" s="150"/>
      <c r="AD17" s="150"/>
      <c r="AE17" s="150"/>
      <c r="AF17" s="150"/>
      <c r="AG17" s="150"/>
      <c r="AH17" s="150"/>
      <c r="AI17" s="150"/>
      <c r="AJ17" s="150"/>
    </row>
    <row r="18" spans="1:51" s="148" customFormat="1" ht="27.6" x14ac:dyDescent="0.25">
      <c r="A18" s="166" t="s">
        <v>103</v>
      </c>
      <c r="B18" s="167" t="s">
        <v>6</v>
      </c>
      <c r="C18" s="168" t="s">
        <v>179</v>
      </c>
      <c r="D18" s="168" t="s">
        <v>20</v>
      </c>
      <c r="E18" s="168" t="s">
        <v>63</v>
      </c>
      <c r="F18" s="168" t="s">
        <v>180</v>
      </c>
      <c r="G18" s="169" t="s">
        <v>181</v>
      </c>
      <c r="H18" s="169" t="s">
        <v>87</v>
      </c>
      <c r="I18" s="146"/>
      <c r="J18" s="166" t="s">
        <v>103</v>
      </c>
      <c r="K18" s="167" t="s">
        <v>6</v>
      </c>
      <c r="L18" s="218" t="s">
        <v>182</v>
      </c>
      <c r="M18" s="218" t="s">
        <v>20</v>
      </c>
      <c r="N18" s="218" t="s">
        <v>63</v>
      </c>
      <c r="O18" s="218" t="s">
        <v>183</v>
      </c>
      <c r="P18" s="145"/>
      <c r="Q18" s="145"/>
      <c r="R18" s="145"/>
      <c r="S18" s="145"/>
      <c r="T18" s="145"/>
      <c r="U18" s="145"/>
      <c r="X18" s="149"/>
      <c r="Y18" s="149"/>
      <c r="Z18" s="149"/>
      <c r="AA18" s="149"/>
      <c r="AB18" s="150"/>
      <c r="AC18" s="150"/>
      <c r="AD18" s="150"/>
      <c r="AE18" s="150"/>
      <c r="AF18" s="150"/>
      <c r="AG18" s="150"/>
      <c r="AH18" s="150"/>
      <c r="AI18" s="150"/>
      <c r="AJ18" s="150"/>
    </row>
    <row r="19" spans="1:51" s="148" customFormat="1" x14ac:dyDescent="0.25">
      <c r="A19" s="67" t="s">
        <v>184</v>
      </c>
      <c r="B19" s="45">
        <v>1</v>
      </c>
      <c r="C19" s="41">
        <f>0.9*0.5</f>
        <v>0.45</v>
      </c>
      <c r="D19" s="37" t="s">
        <v>37</v>
      </c>
      <c r="E19" s="55">
        <f>280*F12</f>
        <v>7000</v>
      </c>
      <c r="F19" s="133">
        <f>C19*E19</f>
        <v>3150</v>
      </c>
      <c r="G19" s="139">
        <f t="shared" ref="G19:G26" si="0">F19/$B$5</f>
        <v>3500</v>
      </c>
      <c r="H19" s="133">
        <f t="shared" ref="H19:H26" si="1">F19*$B$4</f>
        <v>878850</v>
      </c>
      <c r="I19" s="146"/>
      <c r="J19" s="146"/>
      <c r="K19" s="146"/>
      <c r="L19" s="147"/>
      <c r="N19" s="145"/>
      <c r="O19" s="170"/>
      <c r="P19" s="145"/>
      <c r="Q19" s="145"/>
      <c r="R19" s="145"/>
      <c r="S19" s="145"/>
      <c r="T19" s="145"/>
      <c r="U19" s="145"/>
      <c r="X19" s="149"/>
      <c r="Y19" s="149"/>
      <c r="Z19" s="149"/>
      <c r="AA19" s="149"/>
      <c r="AB19" s="150"/>
      <c r="AC19" s="150"/>
      <c r="AD19" s="150"/>
      <c r="AE19" s="150"/>
      <c r="AF19" s="150"/>
      <c r="AG19" s="150"/>
      <c r="AH19" s="150"/>
      <c r="AI19" s="150"/>
      <c r="AJ19" s="150"/>
    </row>
    <row r="20" spans="1:51" s="148" customFormat="1" x14ac:dyDescent="0.25">
      <c r="A20" s="67" t="s">
        <v>185</v>
      </c>
      <c r="B20" s="45">
        <v>2</v>
      </c>
      <c r="C20" s="41">
        <f>0.9*0.5</f>
        <v>0.45</v>
      </c>
      <c r="D20" s="44" t="s">
        <v>37</v>
      </c>
      <c r="E20" s="55">
        <f>320*F11</f>
        <v>8640</v>
      </c>
      <c r="F20" s="133">
        <f>C20*E20</f>
        <v>3888</v>
      </c>
      <c r="G20" s="139">
        <f t="shared" si="0"/>
        <v>4320</v>
      </c>
      <c r="H20" s="133">
        <f t="shared" si="1"/>
        <v>1084752</v>
      </c>
      <c r="I20" s="146"/>
      <c r="J20" s="125" t="s">
        <v>178</v>
      </c>
      <c r="K20" s="146" t="s">
        <v>190</v>
      </c>
      <c r="L20" s="147"/>
      <c r="N20" s="145"/>
      <c r="O20" s="133">
        <f>+O66-SUM(O21:O27)</f>
        <v>12125.843751344088</v>
      </c>
      <c r="P20" s="145"/>
      <c r="Q20" s="145"/>
      <c r="R20" s="145"/>
      <c r="S20" s="145"/>
      <c r="T20" s="145"/>
      <c r="U20" s="190"/>
      <c r="X20" s="149"/>
      <c r="Y20" s="149"/>
      <c r="Z20" s="149"/>
      <c r="AA20" s="149"/>
      <c r="AB20" s="150"/>
      <c r="AC20" s="150"/>
      <c r="AD20" s="150"/>
      <c r="AE20" s="150"/>
      <c r="AF20" s="150"/>
      <c r="AG20" s="150"/>
      <c r="AH20" s="150"/>
      <c r="AI20" s="150"/>
      <c r="AJ20" s="150"/>
    </row>
    <row r="21" spans="1:51" s="148" customFormat="1" x14ac:dyDescent="0.25">
      <c r="A21" s="67" t="s">
        <v>186</v>
      </c>
      <c r="B21" s="45">
        <v>3</v>
      </c>
      <c r="C21" s="41">
        <f>C31</f>
        <v>0.15</v>
      </c>
      <c r="D21" s="44" t="s">
        <v>37</v>
      </c>
      <c r="E21" s="55">
        <f>290*F13</f>
        <v>11600</v>
      </c>
      <c r="F21" s="133">
        <f t="shared" ref="F21:F26" si="2">C21*E21</f>
        <v>1740</v>
      </c>
      <c r="G21" s="139">
        <f t="shared" si="0"/>
        <v>1933.3333333333333</v>
      </c>
      <c r="H21" s="133">
        <f t="shared" si="1"/>
        <v>485460</v>
      </c>
      <c r="I21" s="146"/>
      <c r="J21" s="226"/>
      <c r="K21" s="226"/>
      <c r="L21" s="39"/>
      <c r="M21" s="38"/>
      <c r="N21" s="36"/>
      <c r="O21" s="133"/>
      <c r="P21" s="145"/>
      <c r="Q21" s="145"/>
      <c r="R21" s="145"/>
      <c r="S21" s="145"/>
      <c r="T21" s="145"/>
      <c r="U21" s="190"/>
      <c r="X21" s="149"/>
      <c r="Y21" s="149"/>
      <c r="Z21" s="149"/>
      <c r="AA21" s="149"/>
      <c r="AB21" s="150"/>
      <c r="AC21" s="150"/>
      <c r="AD21" s="150"/>
      <c r="AE21" s="150"/>
      <c r="AF21" s="150"/>
      <c r="AG21" s="150"/>
      <c r="AH21" s="150"/>
      <c r="AI21" s="150"/>
      <c r="AJ21" s="150"/>
    </row>
    <row r="22" spans="1:51" s="148" customFormat="1" x14ac:dyDescent="0.25">
      <c r="A22" s="67" t="s">
        <v>131</v>
      </c>
      <c r="B22" s="45">
        <v>4</v>
      </c>
      <c r="C22" s="42">
        <f>2192*0.18</f>
        <v>394.56</v>
      </c>
      <c r="D22" s="44" t="s">
        <v>158</v>
      </c>
      <c r="E22" s="55">
        <v>0.95</v>
      </c>
      <c r="F22" s="133">
        <f t="shared" si="2"/>
        <v>374.83199999999999</v>
      </c>
      <c r="G22" s="139">
        <f t="shared" si="0"/>
        <v>416.47999999999996</v>
      </c>
      <c r="H22" s="133">
        <f t="shared" si="1"/>
        <v>104578.128</v>
      </c>
      <c r="I22" s="146"/>
      <c r="J22" s="67" t="s">
        <v>131</v>
      </c>
      <c r="K22" s="45">
        <v>32</v>
      </c>
      <c r="L22" s="42">
        <f>1180*0.18</f>
        <v>212.4</v>
      </c>
      <c r="M22" s="44" t="s">
        <v>158</v>
      </c>
      <c r="N22" s="43">
        <f>E22</f>
        <v>0.95</v>
      </c>
      <c r="O22" s="133">
        <f>N22*L22</f>
        <v>201.78</v>
      </c>
      <c r="P22" s="145"/>
      <c r="Q22" s="145"/>
      <c r="R22" s="145"/>
      <c r="S22" s="145"/>
      <c r="T22" s="145"/>
      <c r="U22" s="145"/>
      <c r="X22" s="149"/>
      <c r="Y22" s="149"/>
      <c r="Z22" s="149"/>
      <c r="AA22" s="149"/>
      <c r="AB22" s="150"/>
      <c r="AC22" s="150"/>
      <c r="AD22" s="150"/>
      <c r="AE22" s="150"/>
      <c r="AF22" s="150"/>
      <c r="AG22" s="150"/>
      <c r="AH22" s="150"/>
      <c r="AI22" s="150"/>
      <c r="AJ22" s="150"/>
    </row>
    <row r="23" spans="1:51" s="148" customFormat="1" x14ac:dyDescent="0.25">
      <c r="A23" s="67" t="s">
        <v>170</v>
      </c>
      <c r="B23" s="45">
        <v>5</v>
      </c>
      <c r="C23" s="40">
        <v>1</v>
      </c>
      <c r="D23" s="44" t="s">
        <v>76</v>
      </c>
      <c r="E23" s="55">
        <v>863</v>
      </c>
      <c r="F23" s="133">
        <f t="shared" si="2"/>
        <v>863</v>
      </c>
      <c r="G23" s="139">
        <f t="shared" si="0"/>
        <v>958.88888888888891</v>
      </c>
      <c r="H23" s="133">
        <f t="shared" si="1"/>
        <v>240777</v>
      </c>
      <c r="I23" s="146"/>
      <c r="J23" s="67" t="s">
        <v>170</v>
      </c>
      <c r="K23" s="45">
        <v>33</v>
      </c>
      <c r="L23" s="41">
        <f>(25-12)/12</f>
        <v>1.0833333333333333</v>
      </c>
      <c r="M23" s="44" t="s">
        <v>76</v>
      </c>
      <c r="N23" s="213">
        <f>E23</f>
        <v>863</v>
      </c>
      <c r="O23" s="133">
        <f>N23*L23</f>
        <v>934.91666666666663</v>
      </c>
      <c r="P23" s="145"/>
      <c r="Q23" s="145"/>
      <c r="R23" s="145"/>
      <c r="S23" s="145"/>
      <c r="T23" s="145"/>
      <c r="U23" s="145"/>
      <c r="X23" s="149"/>
      <c r="Y23" s="149"/>
      <c r="Z23" s="149"/>
      <c r="AA23" s="149"/>
      <c r="AB23" s="150"/>
      <c r="AC23" s="150"/>
      <c r="AD23" s="150"/>
      <c r="AE23" s="150"/>
      <c r="AF23" s="150"/>
      <c r="AG23" s="150"/>
      <c r="AH23" s="150"/>
      <c r="AI23" s="150"/>
      <c r="AJ23" s="150"/>
    </row>
    <row r="24" spans="1:51" s="148" customFormat="1" x14ac:dyDescent="0.25">
      <c r="A24" s="67" t="s">
        <v>107</v>
      </c>
      <c r="B24" s="45">
        <v>6</v>
      </c>
      <c r="C24" s="40">
        <v>1</v>
      </c>
      <c r="D24" s="44" t="s">
        <v>221</v>
      </c>
      <c r="E24" s="55">
        <v>925</v>
      </c>
      <c r="F24" s="133">
        <f>C24*E24</f>
        <v>925</v>
      </c>
      <c r="G24" s="139">
        <f t="shared" si="0"/>
        <v>1027.7777777777778</v>
      </c>
      <c r="H24" s="133">
        <f t="shared" si="1"/>
        <v>258075</v>
      </c>
      <c r="I24" s="146"/>
      <c r="J24" s="67" t="s">
        <v>107</v>
      </c>
      <c r="K24" s="45">
        <v>34</v>
      </c>
      <c r="L24" s="41">
        <f>(24-6)/12*0.6+1/12*1</f>
        <v>0.98333333333333328</v>
      </c>
      <c r="M24" s="44" t="s">
        <v>221</v>
      </c>
      <c r="N24" s="213">
        <f>E24</f>
        <v>925</v>
      </c>
      <c r="O24" s="133">
        <f>N24*L24</f>
        <v>909.58333333333326</v>
      </c>
      <c r="P24" s="145"/>
      <c r="Q24" s="145"/>
      <c r="R24" s="145"/>
      <c r="S24" s="145"/>
      <c r="T24" s="145"/>
      <c r="U24" s="145"/>
      <c r="X24" s="149"/>
      <c r="Y24" s="149"/>
      <c r="Z24" s="149"/>
      <c r="AA24" s="149"/>
      <c r="AB24" s="150"/>
      <c r="AC24" s="150"/>
      <c r="AD24" s="150"/>
      <c r="AE24" s="150"/>
      <c r="AF24" s="150"/>
      <c r="AG24" s="150"/>
      <c r="AH24" s="150"/>
      <c r="AI24" s="150"/>
      <c r="AJ24" s="150"/>
    </row>
    <row r="25" spans="1:51" s="148" customFormat="1" ht="27.6" x14ac:dyDescent="0.25">
      <c r="A25" s="67" t="s">
        <v>112</v>
      </c>
      <c r="B25" s="45">
        <v>7</v>
      </c>
      <c r="C25" s="40">
        <v>1</v>
      </c>
      <c r="D25" s="44" t="s">
        <v>221</v>
      </c>
      <c r="E25" s="55">
        <v>1600</v>
      </c>
      <c r="F25" s="133">
        <f t="shared" si="2"/>
        <v>1600</v>
      </c>
      <c r="G25" s="139">
        <f t="shared" si="0"/>
        <v>1777.7777777777778</v>
      </c>
      <c r="H25" s="133">
        <f t="shared" si="1"/>
        <v>446400</v>
      </c>
      <c r="I25" s="146"/>
      <c r="J25" s="67" t="s">
        <v>112</v>
      </c>
      <c r="K25" s="45">
        <v>35</v>
      </c>
      <c r="L25" s="41">
        <f>L24</f>
        <v>0.98333333333333328</v>
      </c>
      <c r="M25" s="44" t="s">
        <v>221</v>
      </c>
      <c r="N25" s="213">
        <f>E25</f>
        <v>1600</v>
      </c>
      <c r="O25" s="133">
        <f>N25*L25</f>
        <v>1573.3333333333333</v>
      </c>
      <c r="P25" s="145"/>
      <c r="Q25" s="145"/>
      <c r="R25" s="145"/>
      <c r="S25" s="145"/>
      <c r="T25" s="145"/>
      <c r="U25" s="145"/>
      <c r="X25" s="149"/>
      <c r="Y25" s="149"/>
      <c r="Z25" s="149"/>
      <c r="AA25" s="149"/>
      <c r="AB25" s="150"/>
      <c r="AC25" s="150"/>
      <c r="AD25" s="150"/>
      <c r="AE25" s="150"/>
      <c r="AF25" s="150"/>
      <c r="AG25" s="150"/>
      <c r="AH25" s="150"/>
      <c r="AI25" s="150"/>
      <c r="AJ25" s="150"/>
    </row>
    <row r="26" spans="1:51" s="148" customFormat="1" x14ac:dyDescent="0.25">
      <c r="A26" s="67" t="s">
        <v>106</v>
      </c>
      <c r="B26" s="45">
        <v>8</v>
      </c>
      <c r="C26" s="40">
        <v>3.7</v>
      </c>
      <c r="D26" s="44" t="s">
        <v>41</v>
      </c>
      <c r="E26" s="55">
        <v>20</v>
      </c>
      <c r="F26" s="133">
        <f t="shared" si="2"/>
        <v>74</v>
      </c>
      <c r="G26" s="139">
        <f t="shared" si="0"/>
        <v>82.222222222222214</v>
      </c>
      <c r="H26" s="133">
        <f t="shared" si="1"/>
        <v>20646</v>
      </c>
      <c r="I26" s="146"/>
      <c r="J26" s="226" t="s">
        <v>106</v>
      </c>
      <c r="K26" s="45">
        <v>36</v>
      </c>
      <c r="L26" s="39">
        <v>3</v>
      </c>
      <c r="M26" s="234" t="s">
        <v>41</v>
      </c>
      <c r="N26" s="54">
        <f>E26</f>
        <v>20</v>
      </c>
      <c r="O26" s="133">
        <f>N26*L26</f>
        <v>60</v>
      </c>
      <c r="P26" s="145"/>
      <c r="Q26" s="145"/>
      <c r="R26" s="145"/>
      <c r="S26" s="145"/>
      <c r="T26" s="145"/>
      <c r="U26" s="145"/>
      <c r="X26" s="149"/>
      <c r="Y26" s="149"/>
      <c r="Z26" s="149"/>
      <c r="AA26" s="149"/>
      <c r="AB26" s="150"/>
      <c r="AC26" s="150"/>
      <c r="AD26" s="150"/>
      <c r="AE26" s="150"/>
      <c r="AF26" s="150"/>
      <c r="AG26" s="150"/>
      <c r="AH26" s="150"/>
      <c r="AI26" s="150"/>
      <c r="AJ26" s="150"/>
      <c r="AY26" s="145"/>
    </row>
    <row r="27" spans="1:51" s="148" customFormat="1" x14ac:dyDescent="0.25">
      <c r="A27" s="67"/>
      <c r="B27" s="45"/>
      <c r="C27" s="40"/>
      <c r="D27" s="44"/>
      <c r="E27" s="55"/>
      <c r="F27" s="133"/>
      <c r="G27" s="139"/>
      <c r="H27" s="133"/>
      <c r="I27" s="146"/>
      <c r="J27" s="226"/>
      <c r="K27" s="226"/>
      <c r="L27" s="39"/>
      <c r="M27" s="38"/>
      <c r="N27" s="36"/>
      <c r="O27" s="133"/>
      <c r="P27" s="145"/>
      <c r="Q27" s="145"/>
      <c r="R27" s="145"/>
      <c r="S27" s="145"/>
      <c r="T27" s="145"/>
      <c r="U27" s="145"/>
      <c r="X27" s="149"/>
      <c r="Y27" s="149"/>
      <c r="Z27" s="149"/>
      <c r="AA27" s="149"/>
      <c r="AB27" s="150"/>
      <c r="AC27" s="150"/>
      <c r="AD27" s="150"/>
      <c r="AE27" s="150"/>
      <c r="AF27" s="150"/>
      <c r="AG27" s="150"/>
      <c r="AH27" s="150"/>
      <c r="AI27" s="150"/>
      <c r="AJ27" s="150"/>
      <c r="AY27" s="145"/>
    </row>
    <row r="28" spans="1:51" s="148" customFormat="1" x14ac:dyDescent="0.25">
      <c r="A28" s="171" t="s">
        <v>90</v>
      </c>
      <c r="B28" s="172"/>
      <c r="C28" s="173"/>
      <c r="D28" s="174"/>
      <c r="E28" s="175"/>
      <c r="F28" s="56">
        <f>SUM(F19:F27)</f>
        <v>12614.832</v>
      </c>
      <c r="G28" s="56">
        <f>SUM(G19:G27)</f>
        <v>14016.48</v>
      </c>
      <c r="H28" s="56">
        <f>SUM(H19:H27)</f>
        <v>3519538.128</v>
      </c>
      <c r="I28" s="146"/>
      <c r="J28" s="171" t="s">
        <v>90</v>
      </c>
      <c r="K28" s="172"/>
      <c r="L28" s="173"/>
      <c r="M28" s="174"/>
      <c r="N28" s="219">
        <f>SUM(N22:N27)</f>
        <v>3408.95</v>
      </c>
      <c r="O28" s="233">
        <f>SUM(O20:O27)</f>
        <v>15805.457084677422</v>
      </c>
      <c r="P28" s="145"/>
      <c r="Q28" s="145"/>
      <c r="R28" s="145"/>
      <c r="S28" s="145"/>
      <c r="T28" s="145"/>
      <c r="U28" s="145"/>
      <c r="X28" s="149"/>
      <c r="Y28" s="149"/>
      <c r="Z28" s="149"/>
      <c r="AA28" s="149"/>
      <c r="AB28" s="150"/>
      <c r="AC28" s="150"/>
      <c r="AD28" s="150"/>
      <c r="AE28" s="150"/>
      <c r="AF28" s="150"/>
      <c r="AG28" s="150"/>
      <c r="AH28" s="150"/>
      <c r="AI28" s="150"/>
      <c r="AJ28" s="150"/>
      <c r="AY28" s="145"/>
    </row>
    <row r="29" spans="1:51" s="148" customFormat="1" x14ac:dyDescent="0.25">
      <c r="A29" s="176"/>
      <c r="B29" s="122"/>
      <c r="C29" s="177"/>
      <c r="D29" s="152"/>
      <c r="E29" s="178"/>
      <c r="F29" s="179"/>
      <c r="G29" s="204"/>
      <c r="H29" s="145"/>
      <c r="I29" s="126"/>
      <c r="K29" s="145"/>
      <c r="L29" s="145"/>
      <c r="M29" s="170"/>
      <c r="N29" s="220"/>
      <c r="O29" s="145"/>
      <c r="P29" s="145"/>
      <c r="Q29" s="145"/>
      <c r="R29" s="145"/>
      <c r="S29" s="145"/>
      <c r="V29" s="149"/>
      <c r="W29" s="149"/>
      <c r="X29" s="149"/>
      <c r="Y29" s="149"/>
      <c r="Z29" s="150"/>
      <c r="AA29" s="150"/>
      <c r="AB29" s="150"/>
      <c r="AC29" s="150"/>
      <c r="AD29" s="150"/>
      <c r="AE29" s="150"/>
      <c r="AF29" s="150"/>
      <c r="AG29" s="150"/>
      <c r="AH29" s="150"/>
      <c r="AW29" s="145"/>
    </row>
    <row r="30" spans="1:51" s="148" customFormat="1" ht="27.6" x14ac:dyDescent="0.25">
      <c r="A30" s="166" t="s">
        <v>104</v>
      </c>
      <c r="B30" s="167" t="s">
        <v>6</v>
      </c>
      <c r="C30" s="168" t="s">
        <v>179</v>
      </c>
      <c r="D30" s="168" t="s">
        <v>20</v>
      </c>
      <c r="E30" s="168" t="s">
        <v>63</v>
      </c>
      <c r="F30" s="168" t="s">
        <v>180</v>
      </c>
      <c r="G30" s="169" t="s">
        <v>181</v>
      </c>
      <c r="H30" s="169" t="s">
        <v>87</v>
      </c>
      <c r="I30" s="126"/>
      <c r="J30" s="166" t="s">
        <v>104</v>
      </c>
      <c r="K30" s="167" t="s">
        <v>6</v>
      </c>
      <c r="L30" s="218" t="s">
        <v>182</v>
      </c>
      <c r="M30" s="218" t="s">
        <v>20</v>
      </c>
      <c r="N30" s="218" t="s">
        <v>63</v>
      </c>
      <c r="O30" s="218" t="s">
        <v>183</v>
      </c>
      <c r="P30" s="145"/>
      <c r="Q30" s="145"/>
      <c r="R30" s="145"/>
      <c r="S30" s="145"/>
      <c r="V30" s="149"/>
      <c r="W30" s="149"/>
      <c r="X30" s="149"/>
      <c r="Y30" s="149"/>
      <c r="Z30" s="150"/>
      <c r="AA30" s="150"/>
      <c r="AB30" s="150"/>
      <c r="AC30" s="150"/>
      <c r="AD30" s="150"/>
      <c r="AE30" s="150"/>
      <c r="AF30" s="150"/>
      <c r="AG30" s="150"/>
      <c r="AH30" s="150"/>
      <c r="AW30" s="145"/>
    </row>
    <row r="31" spans="1:51" s="148" customFormat="1" ht="27.6" x14ac:dyDescent="0.25">
      <c r="A31" s="125" t="s">
        <v>187</v>
      </c>
      <c r="B31" s="122">
        <v>9</v>
      </c>
      <c r="C31" s="41">
        <v>0.15</v>
      </c>
      <c r="D31" s="123" t="s">
        <v>37</v>
      </c>
      <c r="E31" s="133">
        <f>+O20</f>
        <v>12125.843751344088</v>
      </c>
      <c r="F31" s="133">
        <f>C31*E31</f>
        <v>1818.876562701613</v>
      </c>
      <c r="G31" s="139">
        <f t="shared" ref="G31:G66" si="3">F31/$B$5</f>
        <v>2020.9739585573477</v>
      </c>
      <c r="H31" s="133">
        <f t="shared" ref="H31:H56" si="4">F31*$B$4</f>
        <v>507466.56099375006</v>
      </c>
      <c r="I31" s="170"/>
      <c r="J31" s="125" t="s">
        <v>184</v>
      </c>
      <c r="K31" s="122">
        <v>37</v>
      </c>
      <c r="L31" s="126">
        <v>1</v>
      </c>
      <c r="M31" s="123" t="s">
        <v>37</v>
      </c>
      <c r="N31" s="139">
        <f>$E$19</f>
        <v>7000</v>
      </c>
      <c r="O31" s="133">
        <f>L31*N31</f>
        <v>7000</v>
      </c>
      <c r="P31" s="145"/>
      <c r="Q31" s="145"/>
      <c r="R31" s="145"/>
      <c r="S31" s="145"/>
      <c r="V31" s="149"/>
      <c r="W31" s="149"/>
      <c r="X31" s="149"/>
      <c r="Y31" s="149"/>
      <c r="Z31" s="150"/>
      <c r="AA31" s="150"/>
      <c r="AB31" s="150"/>
      <c r="AC31" s="150"/>
      <c r="AD31" s="150"/>
      <c r="AE31" s="150"/>
      <c r="AF31" s="150"/>
      <c r="AG31" s="150"/>
      <c r="AH31" s="150"/>
    </row>
    <row r="32" spans="1:51" s="148" customFormat="1" x14ac:dyDescent="0.25">
      <c r="A32" s="67" t="s">
        <v>123</v>
      </c>
      <c r="B32" s="45">
        <v>10</v>
      </c>
      <c r="C32" s="42">
        <v>0</v>
      </c>
      <c r="D32" s="37" t="s">
        <v>37</v>
      </c>
      <c r="E32" s="55">
        <v>0</v>
      </c>
      <c r="F32" s="133">
        <f t="shared" ref="F32:F50" si="5">C32*E32</f>
        <v>0</v>
      </c>
      <c r="G32" s="133">
        <f>F32*$B$4*$B$5</f>
        <v>0</v>
      </c>
      <c r="H32" s="133">
        <f t="shared" si="4"/>
        <v>0</v>
      </c>
      <c r="I32" s="147"/>
      <c r="J32" s="125"/>
      <c r="K32" s="122"/>
      <c r="L32" s="126"/>
      <c r="M32" s="123"/>
      <c r="N32" s="139"/>
      <c r="O32" s="133"/>
      <c r="P32" s="145"/>
      <c r="Q32" s="145"/>
      <c r="R32" s="145"/>
      <c r="U32" s="149"/>
      <c r="V32" s="149"/>
      <c r="W32" s="149"/>
      <c r="X32" s="149"/>
      <c r="Y32" s="150"/>
      <c r="Z32" s="150"/>
      <c r="AA32" s="150"/>
      <c r="AB32" s="150"/>
      <c r="AC32" s="150"/>
      <c r="AD32" s="150"/>
      <c r="AE32" s="150"/>
      <c r="AF32" s="150"/>
      <c r="AG32" s="150"/>
    </row>
    <row r="33" spans="1:34" s="148" customFormat="1" x14ac:dyDescent="0.25">
      <c r="A33" s="67" t="s">
        <v>213</v>
      </c>
      <c r="B33" s="45">
        <v>11</v>
      </c>
      <c r="C33" s="42">
        <v>1760</v>
      </c>
      <c r="D33" s="37" t="s">
        <v>158</v>
      </c>
      <c r="E33" s="55">
        <v>1.2</v>
      </c>
      <c r="F33" s="133">
        <f t="shared" si="5"/>
        <v>2112</v>
      </c>
      <c r="G33" s="139">
        <f t="shared" si="3"/>
        <v>2346.6666666666665</v>
      </c>
      <c r="H33" s="133">
        <f t="shared" si="4"/>
        <v>589248</v>
      </c>
      <c r="I33" s="170"/>
      <c r="J33" s="67" t="s">
        <v>213</v>
      </c>
      <c r="K33" s="45">
        <v>38</v>
      </c>
      <c r="L33" s="42">
        <v>2250</v>
      </c>
      <c r="M33" s="37" t="s">
        <v>158</v>
      </c>
      <c r="N33" s="55">
        <f>E33</f>
        <v>1.2</v>
      </c>
      <c r="O33" s="133">
        <f t="shared" ref="O33:O48" si="6">L33*N33</f>
        <v>2700</v>
      </c>
      <c r="P33" s="145"/>
      <c r="Q33" s="145"/>
      <c r="R33" s="145"/>
      <c r="S33" s="145"/>
      <c r="V33" s="149"/>
      <c r="W33" s="149"/>
      <c r="X33" s="149"/>
      <c r="Y33" s="149"/>
      <c r="Z33" s="150"/>
      <c r="AA33" s="150"/>
      <c r="AB33" s="150"/>
      <c r="AC33" s="150"/>
      <c r="AD33" s="150"/>
      <c r="AE33" s="150"/>
      <c r="AF33" s="150"/>
      <c r="AG33" s="150"/>
      <c r="AH33" s="150"/>
    </row>
    <row r="34" spans="1:34" s="148" customFormat="1" x14ac:dyDescent="0.25">
      <c r="A34" s="67" t="s">
        <v>214</v>
      </c>
      <c r="B34" s="45"/>
      <c r="C34" s="42">
        <f>2192-C35</f>
        <v>1797.44</v>
      </c>
      <c r="D34" s="37" t="s">
        <v>158</v>
      </c>
      <c r="E34" s="55">
        <v>0.5</v>
      </c>
      <c r="F34" s="133">
        <f>C34*E34</f>
        <v>898.72</v>
      </c>
      <c r="G34" s="139">
        <f>F34/$B$5</f>
        <v>998.57777777777778</v>
      </c>
      <c r="H34" s="133">
        <f>F34*$B$4</f>
        <v>250742.88</v>
      </c>
      <c r="I34" s="170"/>
      <c r="J34" s="67" t="s">
        <v>214</v>
      </c>
      <c r="K34" s="45"/>
      <c r="L34" s="42">
        <f>1180-L35</f>
        <v>967.6</v>
      </c>
      <c r="M34" s="37" t="s">
        <v>158</v>
      </c>
      <c r="N34" s="55">
        <f>E34</f>
        <v>0.5</v>
      </c>
      <c r="O34" s="133">
        <f t="shared" si="6"/>
        <v>483.8</v>
      </c>
      <c r="P34" s="145"/>
      <c r="Q34" s="145"/>
      <c r="R34" s="145"/>
      <c r="S34" s="145"/>
      <c r="V34" s="149"/>
      <c r="W34" s="149"/>
      <c r="X34" s="149"/>
      <c r="Y34" s="149"/>
      <c r="Z34" s="150"/>
      <c r="AA34" s="150"/>
      <c r="AB34" s="150"/>
      <c r="AC34" s="150"/>
      <c r="AD34" s="150"/>
      <c r="AE34" s="150"/>
      <c r="AF34" s="150"/>
      <c r="AG34" s="150"/>
      <c r="AH34" s="150"/>
    </row>
    <row r="35" spans="1:34" s="148" customFormat="1" x14ac:dyDescent="0.25">
      <c r="A35" s="67" t="s">
        <v>215</v>
      </c>
      <c r="B35" s="45"/>
      <c r="C35" s="42">
        <f>C22</f>
        <v>394.56</v>
      </c>
      <c r="D35" s="37" t="s">
        <v>158</v>
      </c>
      <c r="E35" s="55">
        <v>0</v>
      </c>
      <c r="F35" s="133">
        <f>C35*E35</f>
        <v>0</v>
      </c>
      <c r="G35" s="139">
        <f>F35/$B$5</f>
        <v>0</v>
      </c>
      <c r="H35" s="133">
        <f>F35*$B$4</f>
        <v>0</v>
      </c>
      <c r="I35" s="170"/>
      <c r="J35" s="67" t="s">
        <v>222</v>
      </c>
      <c r="K35" s="45"/>
      <c r="L35" s="42">
        <f>L22</f>
        <v>212.4</v>
      </c>
      <c r="M35" s="37" t="s">
        <v>158</v>
      </c>
      <c r="N35" s="55">
        <f>E35</f>
        <v>0</v>
      </c>
      <c r="O35" s="133">
        <f t="shared" si="6"/>
        <v>0</v>
      </c>
      <c r="P35" s="145"/>
      <c r="Q35" s="145"/>
      <c r="R35" s="145"/>
      <c r="S35" s="145"/>
      <c r="V35" s="149"/>
      <c r="W35" s="149"/>
      <c r="X35" s="149"/>
      <c r="Y35" s="149"/>
      <c r="Z35" s="150"/>
      <c r="AA35" s="150"/>
      <c r="AB35" s="150"/>
      <c r="AC35" s="150"/>
      <c r="AD35" s="150"/>
      <c r="AE35" s="150"/>
      <c r="AF35" s="150"/>
      <c r="AG35" s="150"/>
      <c r="AH35" s="150"/>
    </row>
    <row r="36" spans="1:34" s="148" customFormat="1" x14ac:dyDescent="0.25">
      <c r="A36" s="67" t="s">
        <v>109</v>
      </c>
      <c r="B36" s="45">
        <v>12</v>
      </c>
      <c r="C36" s="42">
        <v>0</v>
      </c>
      <c r="D36" s="37" t="s">
        <v>44</v>
      </c>
      <c r="E36" s="55">
        <v>0</v>
      </c>
      <c r="F36" s="133">
        <f t="shared" si="5"/>
        <v>0</v>
      </c>
      <c r="G36" s="139">
        <f t="shared" si="3"/>
        <v>0</v>
      </c>
      <c r="H36" s="133">
        <f t="shared" si="4"/>
        <v>0</v>
      </c>
      <c r="I36" s="170"/>
      <c r="J36" s="67" t="s">
        <v>109</v>
      </c>
      <c r="K36" s="45">
        <v>39</v>
      </c>
      <c r="L36" s="42">
        <v>440</v>
      </c>
      <c r="M36" s="37" t="s">
        <v>44</v>
      </c>
      <c r="N36" s="55">
        <v>2.4</v>
      </c>
      <c r="O36" s="133">
        <f t="shared" si="6"/>
        <v>1056</v>
      </c>
      <c r="P36" s="145"/>
      <c r="Q36" s="145"/>
      <c r="R36" s="145"/>
      <c r="S36" s="145"/>
      <c r="V36" s="149"/>
      <c r="W36" s="149"/>
      <c r="X36" s="149"/>
      <c r="Y36" s="149"/>
      <c r="Z36" s="150"/>
      <c r="AA36" s="150"/>
      <c r="AB36" s="150"/>
      <c r="AC36" s="150"/>
      <c r="AD36" s="150"/>
      <c r="AE36" s="150"/>
      <c r="AF36" s="150"/>
      <c r="AG36" s="150"/>
      <c r="AH36" s="150"/>
    </row>
    <row r="37" spans="1:34" s="148" customFormat="1" x14ac:dyDescent="0.25">
      <c r="A37" s="67" t="s">
        <v>134</v>
      </c>
      <c r="B37" s="45">
        <v>13</v>
      </c>
      <c r="C37" s="42">
        <v>0</v>
      </c>
      <c r="D37" s="37" t="s">
        <v>44</v>
      </c>
      <c r="E37" s="55">
        <v>0</v>
      </c>
      <c r="F37" s="133">
        <f t="shared" si="5"/>
        <v>0</v>
      </c>
      <c r="G37" s="139">
        <f>F37/$B$5</f>
        <v>0</v>
      </c>
      <c r="H37" s="133">
        <f>F37*$B$4</f>
        <v>0</v>
      </c>
      <c r="I37" s="170"/>
      <c r="J37" s="67" t="s">
        <v>134</v>
      </c>
      <c r="K37" s="45">
        <v>40</v>
      </c>
      <c r="L37" s="42">
        <v>0</v>
      </c>
      <c r="M37" s="37" t="s">
        <v>44</v>
      </c>
      <c r="N37" s="55">
        <v>0</v>
      </c>
      <c r="O37" s="133">
        <f t="shared" si="6"/>
        <v>0</v>
      </c>
      <c r="P37" s="145"/>
      <c r="Q37" s="145"/>
      <c r="R37" s="145"/>
      <c r="S37" s="145"/>
      <c r="V37" s="149"/>
      <c r="W37" s="149"/>
      <c r="X37" s="149"/>
      <c r="Y37" s="149"/>
      <c r="Z37" s="150"/>
      <c r="AA37" s="150"/>
      <c r="AB37" s="150"/>
      <c r="AC37" s="150"/>
      <c r="AD37" s="150"/>
      <c r="AE37" s="150"/>
      <c r="AF37" s="150"/>
      <c r="AG37" s="150"/>
      <c r="AH37" s="150"/>
    </row>
    <row r="38" spans="1:34" s="148" customFormat="1" x14ac:dyDescent="0.25">
      <c r="A38" s="67" t="s">
        <v>110</v>
      </c>
      <c r="B38" s="45">
        <v>14</v>
      </c>
      <c r="C38" s="42">
        <v>15</v>
      </c>
      <c r="D38" s="37" t="s">
        <v>44</v>
      </c>
      <c r="E38" s="55">
        <v>7.83</v>
      </c>
      <c r="F38" s="133">
        <f t="shared" si="5"/>
        <v>117.45</v>
      </c>
      <c r="G38" s="139">
        <f t="shared" si="3"/>
        <v>130.5</v>
      </c>
      <c r="H38" s="133">
        <f t="shared" si="4"/>
        <v>32768.550000000003</v>
      </c>
      <c r="I38" s="170"/>
      <c r="J38" s="67" t="s">
        <v>110</v>
      </c>
      <c r="K38" s="45">
        <v>41</v>
      </c>
      <c r="L38" s="42">
        <v>13</v>
      </c>
      <c r="M38" s="37" t="s">
        <v>44</v>
      </c>
      <c r="N38" s="55">
        <f>E38</f>
        <v>7.83</v>
      </c>
      <c r="O38" s="133">
        <f t="shared" si="6"/>
        <v>101.79</v>
      </c>
      <c r="P38" s="145"/>
      <c r="Q38" s="145"/>
      <c r="R38" s="145"/>
      <c r="S38" s="145"/>
      <c r="V38" s="149"/>
      <c r="W38" s="149"/>
      <c r="X38" s="149"/>
      <c r="Y38" s="149"/>
      <c r="Z38" s="150"/>
      <c r="AA38" s="150"/>
      <c r="AB38" s="150"/>
      <c r="AC38" s="150"/>
      <c r="AD38" s="150"/>
      <c r="AE38" s="150"/>
      <c r="AF38" s="150"/>
      <c r="AG38" s="150"/>
      <c r="AH38" s="150"/>
    </row>
    <row r="39" spans="1:34" s="148" customFormat="1" x14ac:dyDescent="0.25">
      <c r="A39" s="67" t="s">
        <v>216</v>
      </c>
      <c r="B39" s="45">
        <v>15</v>
      </c>
      <c r="C39" s="42">
        <f>900*0.25</f>
        <v>225</v>
      </c>
      <c r="D39" s="37" t="s">
        <v>44</v>
      </c>
      <c r="E39" s="55">
        <v>1.1000000000000001</v>
      </c>
      <c r="F39" s="133">
        <f t="shared" si="5"/>
        <v>247.50000000000003</v>
      </c>
      <c r="G39" s="139">
        <f t="shared" si="3"/>
        <v>275</v>
      </c>
      <c r="H39" s="133">
        <f t="shared" si="4"/>
        <v>69052.500000000015</v>
      </c>
      <c r="I39" s="170"/>
      <c r="J39" s="67" t="s">
        <v>216</v>
      </c>
      <c r="K39" s="45">
        <v>42</v>
      </c>
      <c r="L39" s="42">
        <f>1600*0.25</f>
        <v>400</v>
      </c>
      <c r="M39" s="37" t="s">
        <v>44</v>
      </c>
      <c r="N39" s="55">
        <f>E39</f>
        <v>1.1000000000000001</v>
      </c>
      <c r="O39" s="133">
        <f t="shared" si="6"/>
        <v>440.00000000000006</v>
      </c>
      <c r="P39" s="145"/>
      <c r="Q39" s="145"/>
      <c r="R39" s="145"/>
      <c r="S39" s="145"/>
      <c r="V39" s="149"/>
      <c r="W39" s="149"/>
      <c r="X39" s="149"/>
      <c r="Y39" s="149"/>
      <c r="Z39" s="150"/>
      <c r="AA39" s="150"/>
      <c r="AB39" s="150"/>
      <c r="AC39" s="150"/>
      <c r="AD39" s="150"/>
      <c r="AE39" s="150"/>
      <c r="AF39" s="150"/>
      <c r="AG39" s="150"/>
      <c r="AH39" s="150"/>
    </row>
    <row r="40" spans="1:34" s="148" customFormat="1" x14ac:dyDescent="0.25">
      <c r="A40" s="67" t="s">
        <v>217</v>
      </c>
      <c r="B40" s="45"/>
      <c r="C40" s="42">
        <f>900*0.75</f>
        <v>675</v>
      </c>
      <c r="D40" s="37" t="s">
        <v>44</v>
      </c>
      <c r="E40" s="55">
        <v>0.8</v>
      </c>
      <c r="F40" s="133">
        <f>C40*E40</f>
        <v>540</v>
      </c>
      <c r="G40" s="139">
        <f>F40/$B$5</f>
        <v>600</v>
      </c>
      <c r="H40" s="133">
        <f>F40*$B$4</f>
        <v>150660</v>
      </c>
      <c r="I40" s="170"/>
      <c r="J40" s="67" t="s">
        <v>217</v>
      </c>
      <c r="K40" s="45"/>
      <c r="L40" s="42">
        <f>1600*0.75</f>
        <v>1200</v>
      </c>
      <c r="M40" s="37" t="s">
        <v>44</v>
      </c>
      <c r="N40" s="55">
        <f>E40</f>
        <v>0.8</v>
      </c>
      <c r="O40" s="133">
        <f t="shared" si="6"/>
        <v>960</v>
      </c>
      <c r="P40" s="145"/>
      <c r="Q40" s="145"/>
      <c r="R40" s="145"/>
      <c r="S40" s="145"/>
      <c r="V40" s="149"/>
      <c r="W40" s="149"/>
      <c r="X40" s="149"/>
      <c r="Y40" s="149"/>
      <c r="Z40" s="150"/>
      <c r="AA40" s="150"/>
      <c r="AB40" s="150"/>
      <c r="AC40" s="150"/>
      <c r="AD40" s="150"/>
      <c r="AE40" s="150"/>
      <c r="AF40" s="150"/>
      <c r="AG40" s="150"/>
      <c r="AH40" s="150"/>
    </row>
    <row r="41" spans="1:34" s="148" customFormat="1" x14ac:dyDescent="0.25">
      <c r="A41" s="67" t="s">
        <v>48</v>
      </c>
      <c r="B41" s="45">
        <v>16</v>
      </c>
      <c r="C41" s="42">
        <f>33*0.7</f>
        <v>23.099999999999998</v>
      </c>
      <c r="D41" s="37" t="s">
        <v>49</v>
      </c>
      <c r="E41" s="55">
        <v>0.5</v>
      </c>
      <c r="F41" s="133">
        <f t="shared" si="5"/>
        <v>11.549999999999999</v>
      </c>
      <c r="G41" s="139">
        <f t="shared" si="3"/>
        <v>12.833333333333332</v>
      </c>
      <c r="H41" s="133">
        <f t="shared" si="4"/>
        <v>3222.45</v>
      </c>
      <c r="I41" s="170"/>
      <c r="J41" s="67" t="s">
        <v>48</v>
      </c>
      <c r="K41" s="45">
        <v>43</v>
      </c>
      <c r="L41" s="42">
        <f>33*2*0.7</f>
        <v>46.199999999999996</v>
      </c>
      <c r="M41" s="37" t="s">
        <v>49</v>
      </c>
      <c r="N41" s="55">
        <f>E41</f>
        <v>0.5</v>
      </c>
      <c r="O41" s="133">
        <f t="shared" si="6"/>
        <v>23.099999999999998</v>
      </c>
      <c r="P41" s="145"/>
      <c r="Q41" s="145"/>
      <c r="R41" s="145"/>
      <c r="S41" s="145"/>
      <c r="V41" s="149"/>
      <c r="W41" s="149"/>
      <c r="X41" s="149"/>
      <c r="Y41" s="149"/>
      <c r="Z41" s="150"/>
      <c r="AA41" s="150"/>
      <c r="AB41" s="150"/>
      <c r="AC41" s="150"/>
      <c r="AD41" s="150"/>
      <c r="AE41" s="150"/>
      <c r="AF41" s="150"/>
      <c r="AG41" s="150"/>
      <c r="AH41" s="150"/>
    </row>
    <row r="42" spans="1:34" s="148" customFormat="1" x14ac:dyDescent="0.25">
      <c r="A42" s="67" t="s">
        <v>51</v>
      </c>
      <c r="B42" s="45">
        <v>17</v>
      </c>
      <c r="C42" s="42">
        <v>0</v>
      </c>
      <c r="D42" s="37" t="s">
        <v>35</v>
      </c>
      <c r="E42" s="55">
        <v>0</v>
      </c>
      <c r="F42" s="133">
        <f t="shared" si="5"/>
        <v>0</v>
      </c>
      <c r="G42" s="139">
        <f t="shared" si="3"/>
        <v>0</v>
      </c>
      <c r="H42" s="133">
        <f t="shared" si="4"/>
        <v>0</v>
      </c>
      <c r="I42" s="170"/>
      <c r="J42" s="67"/>
      <c r="K42" s="45"/>
      <c r="L42" s="42"/>
      <c r="M42" s="37"/>
      <c r="N42" s="55"/>
      <c r="O42" s="133">
        <f t="shared" si="6"/>
        <v>0</v>
      </c>
      <c r="P42" s="145"/>
      <c r="Q42" s="145"/>
      <c r="R42" s="145"/>
      <c r="S42" s="145"/>
      <c r="V42" s="149"/>
      <c r="W42" s="149"/>
      <c r="X42" s="149"/>
      <c r="Y42" s="149"/>
      <c r="Z42" s="150"/>
      <c r="AA42" s="150"/>
      <c r="AB42" s="150"/>
      <c r="AC42" s="150"/>
      <c r="AD42" s="150"/>
      <c r="AE42" s="150"/>
      <c r="AF42" s="150"/>
      <c r="AG42" s="150"/>
      <c r="AH42" s="150"/>
    </row>
    <row r="43" spans="1:34" s="148" customFormat="1" x14ac:dyDescent="0.25">
      <c r="A43" s="67" t="s">
        <v>188</v>
      </c>
      <c r="B43" s="45">
        <v>18</v>
      </c>
      <c r="C43" s="42">
        <v>1</v>
      </c>
      <c r="D43" s="37" t="s">
        <v>35</v>
      </c>
      <c r="E43" s="55">
        <v>181</v>
      </c>
      <c r="F43" s="133">
        <f t="shared" si="5"/>
        <v>181</v>
      </c>
      <c r="G43" s="139">
        <f t="shared" si="3"/>
        <v>201.11111111111111</v>
      </c>
      <c r="H43" s="133">
        <f t="shared" si="4"/>
        <v>50499</v>
      </c>
      <c r="I43" s="170"/>
      <c r="J43" s="67" t="s">
        <v>188</v>
      </c>
      <c r="K43" s="45">
        <v>44</v>
      </c>
      <c r="L43" s="42">
        <v>1</v>
      </c>
      <c r="M43" s="37" t="s">
        <v>35</v>
      </c>
      <c r="N43" s="55">
        <f>E43</f>
        <v>181</v>
      </c>
      <c r="O43" s="133">
        <f t="shared" si="6"/>
        <v>181</v>
      </c>
      <c r="P43" s="145"/>
      <c r="Q43" s="145"/>
      <c r="R43" s="145"/>
      <c r="S43" s="145"/>
      <c r="V43" s="149"/>
      <c r="W43" s="149"/>
      <c r="X43" s="149"/>
      <c r="Y43" s="149"/>
      <c r="Z43" s="150"/>
      <c r="AA43" s="150"/>
      <c r="AB43" s="150"/>
      <c r="AC43" s="150"/>
      <c r="AD43" s="150"/>
      <c r="AE43" s="150"/>
      <c r="AF43" s="150"/>
      <c r="AG43" s="150"/>
      <c r="AH43" s="150"/>
    </row>
    <row r="44" spans="1:34" s="148" customFormat="1" x14ac:dyDescent="0.25">
      <c r="A44" s="67" t="s">
        <v>126</v>
      </c>
      <c r="B44" s="45">
        <v>19</v>
      </c>
      <c r="C44" s="42">
        <v>1</v>
      </c>
      <c r="D44" s="37" t="s">
        <v>35</v>
      </c>
      <c r="E44" s="55">
        <v>50</v>
      </c>
      <c r="F44" s="133">
        <f t="shared" si="5"/>
        <v>50</v>
      </c>
      <c r="G44" s="139">
        <f t="shared" si="3"/>
        <v>55.555555555555557</v>
      </c>
      <c r="H44" s="133">
        <f t="shared" si="4"/>
        <v>13950</v>
      </c>
      <c r="I44" s="170"/>
      <c r="J44" s="67" t="s">
        <v>126</v>
      </c>
      <c r="K44" s="45">
        <v>45</v>
      </c>
      <c r="L44" s="42">
        <v>1</v>
      </c>
      <c r="M44" s="37" t="s">
        <v>35</v>
      </c>
      <c r="N44" s="55">
        <v>35</v>
      </c>
      <c r="O44" s="133">
        <f t="shared" si="6"/>
        <v>35</v>
      </c>
      <c r="P44" s="145"/>
      <c r="Q44" s="145"/>
      <c r="R44" s="145"/>
      <c r="S44" s="145"/>
      <c r="V44" s="149"/>
      <c r="W44" s="149"/>
      <c r="X44" s="149"/>
      <c r="Y44" s="149"/>
      <c r="Z44" s="150"/>
      <c r="AA44" s="150"/>
      <c r="AB44" s="150"/>
      <c r="AC44" s="150"/>
      <c r="AD44" s="150"/>
      <c r="AE44" s="150"/>
      <c r="AF44" s="150"/>
      <c r="AG44" s="150"/>
      <c r="AH44" s="150"/>
    </row>
    <row r="45" spans="1:34" s="148" customFormat="1" x14ac:dyDescent="0.25">
      <c r="A45" s="67" t="s">
        <v>219</v>
      </c>
      <c r="B45" s="45">
        <v>20</v>
      </c>
      <c r="C45" s="42">
        <v>20</v>
      </c>
      <c r="D45" s="37" t="s">
        <v>220</v>
      </c>
      <c r="E45" s="55">
        <v>7.8</v>
      </c>
      <c r="F45" s="133">
        <f t="shared" si="5"/>
        <v>156</v>
      </c>
      <c r="G45" s="139">
        <f t="shared" si="3"/>
        <v>173.33333333333334</v>
      </c>
      <c r="H45" s="133">
        <f t="shared" si="4"/>
        <v>43524</v>
      </c>
      <c r="I45" s="170"/>
      <c r="J45" s="67" t="s">
        <v>219</v>
      </c>
      <c r="K45" s="45">
        <v>46</v>
      </c>
      <c r="L45" s="42">
        <v>33</v>
      </c>
      <c r="M45" s="37" t="s">
        <v>220</v>
      </c>
      <c r="N45" s="55">
        <f>E45</f>
        <v>7.8</v>
      </c>
      <c r="O45" s="133">
        <f t="shared" si="6"/>
        <v>257.39999999999998</v>
      </c>
      <c r="P45" s="145"/>
      <c r="Q45" s="145"/>
      <c r="R45" s="145"/>
      <c r="S45" s="145"/>
      <c r="V45" s="149"/>
      <c r="W45" s="149"/>
      <c r="X45" s="149"/>
      <c r="Y45" s="149"/>
      <c r="Z45" s="150"/>
      <c r="AA45" s="150"/>
      <c r="AB45" s="150"/>
      <c r="AC45" s="150"/>
      <c r="AD45" s="150"/>
      <c r="AE45" s="150"/>
      <c r="AF45" s="150"/>
      <c r="AG45" s="150"/>
      <c r="AH45" s="150"/>
    </row>
    <row r="46" spans="1:34" s="148" customFormat="1" x14ac:dyDescent="0.25">
      <c r="A46" s="67" t="s">
        <v>218</v>
      </c>
      <c r="B46" s="45">
        <v>21</v>
      </c>
      <c r="C46" s="42">
        <v>1</v>
      </c>
      <c r="D46" s="37" t="s">
        <v>35</v>
      </c>
      <c r="E46" s="55">
        <v>120</v>
      </c>
      <c r="F46" s="133">
        <f>C46*E46</f>
        <v>120</v>
      </c>
      <c r="G46" s="139">
        <f>F46/$B$5</f>
        <v>133.33333333333334</v>
      </c>
      <c r="H46" s="133">
        <f>F46*$B$4</f>
        <v>33480</v>
      </c>
      <c r="I46" s="170"/>
      <c r="J46" s="67" t="s">
        <v>218</v>
      </c>
      <c r="K46" s="45">
        <v>47</v>
      </c>
      <c r="L46" s="42">
        <v>1</v>
      </c>
      <c r="M46" s="37" t="s">
        <v>35</v>
      </c>
      <c r="N46" s="55">
        <v>120</v>
      </c>
      <c r="O46" s="133">
        <f t="shared" si="6"/>
        <v>120</v>
      </c>
      <c r="P46" s="145"/>
      <c r="Q46" s="145"/>
      <c r="R46" s="145"/>
      <c r="S46" s="145"/>
      <c r="V46" s="149"/>
      <c r="W46" s="149"/>
      <c r="X46" s="149"/>
      <c r="Y46" s="149"/>
      <c r="Z46" s="150"/>
      <c r="AA46" s="150"/>
      <c r="AB46" s="150"/>
      <c r="AC46" s="150"/>
      <c r="AD46" s="150"/>
      <c r="AE46" s="150"/>
      <c r="AF46" s="150"/>
      <c r="AG46" s="150"/>
      <c r="AH46" s="150"/>
    </row>
    <row r="47" spans="1:34" s="148" customFormat="1" ht="27.6" x14ac:dyDescent="0.25">
      <c r="A47" s="67" t="s">
        <v>50</v>
      </c>
      <c r="B47" s="45">
        <v>22</v>
      </c>
      <c r="C47" s="42">
        <v>1</v>
      </c>
      <c r="D47" s="37" t="s">
        <v>35</v>
      </c>
      <c r="E47" s="55">
        <v>18</v>
      </c>
      <c r="F47" s="133">
        <f t="shared" si="5"/>
        <v>18</v>
      </c>
      <c r="G47" s="139">
        <f t="shared" si="3"/>
        <v>20</v>
      </c>
      <c r="H47" s="133">
        <f t="shared" si="4"/>
        <v>5022</v>
      </c>
      <c r="I47" s="170"/>
      <c r="J47" s="67" t="s">
        <v>50</v>
      </c>
      <c r="K47" s="45">
        <v>48</v>
      </c>
      <c r="L47" s="42">
        <v>1</v>
      </c>
      <c r="M47" s="37" t="s">
        <v>35</v>
      </c>
      <c r="N47" s="55">
        <f>E47</f>
        <v>18</v>
      </c>
      <c r="O47" s="133">
        <f t="shared" si="6"/>
        <v>18</v>
      </c>
      <c r="P47" s="145"/>
      <c r="Q47" s="145"/>
      <c r="R47" s="145"/>
      <c r="S47" s="145"/>
      <c r="V47" s="149"/>
      <c r="W47" s="149"/>
      <c r="X47" s="149"/>
      <c r="Y47" s="149"/>
      <c r="Z47" s="150"/>
      <c r="AA47" s="150"/>
      <c r="AB47" s="150"/>
      <c r="AC47" s="150"/>
      <c r="AD47" s="150"/>
      <c r="AE47" s="150"/>
      <c r="AF47" s="150"/>
      <c r="AG47" s="150"/>
      <c r="AH47" s="150"/>
    </row>
    <row r="48" spans="1:34" s="148" customFormat="1" ht="41.4" x14ac:dyDescent="0.25">
      <c r="A48" s="67" t="s">
        <v>86</v>
      </c>
      <c r="B48" s="45">
        <v>23</v>
      </c>
      <c r="C48" s="42">
        <v>1</v>
      </c>
      <c r="D48" s="37" t="s">
        <v>35</v>
      </c>
      <c r="E48" s="55">
        <v>13</v>
      </c>
      <c r="F48" s="133">
        <f t="shared" si="5"/>
        <v>13</v>
      </c>
      <c r="G48" s="139">
        <f t="shared" si="3"/>
        <v>14.444444444444445</v>
      </c>
      <c r="H48" s="133">
        <f t="shared" si="4"/>
        <v>3627</v>
      </c>
      <c r="I48" s="170"/>
      <c r="J48" s="67" t="s">
        <v>86</v>
      </c>
      <c r="K48" s="45">
        <v>49</v>
      </c>
      <c r="L48" s="42">
        <v>1</v>
      </c>
      <c r="M48" s="37" t="s">
        <v>35</v>
      </c>
      <c r="N48" s="55">
        <f>E48</f>
        <v>13</v>
      </c>
      <c r="O48" s="133">
        <f t="shared" si="6"/>
        <v>13</v>
      </c>
      <c r="P48" s="145"/>
      <c r="Q48" s="145"/>
      <c r="R48" s="145"/>
      <c r="S48" s="145"/>
      <c r="V48" s="149"/>
      <c r="W48" s="149"/>
      <c r="X48" s="149"/>
      <c r="Y48" s="149"/>
      <c r="Z48" s="150"/>
      <c r="AA48" s="150"/>
      <c r="AB48" s="150"/>
      <c r="AC48" s="150"/>
      <c r="AD48" s="150"/>
      <c r="AE48" s="150"/>
      <c r="AF48" s="150"/>
      <c r="AG48" s="150"/>
      <c r="AH48" s="150"/>
    </row>
    <row r="49" spans="1:36" s="148" customFormat="1" x14ac:dyDescent="0.25">
      <c r="A49" s="67"/>
      <c r="B49" s="45"/>
      <c r="C49" s="42"/>
      <c r="D49" s="37"/>
      <c r="E49" s="55"/>
      <c r="F49" s="133">
        <f t="shared" si="5"/>
        <v>0</v>
      </c>
      <c r="G49" s="139">
        <f t="shared" si="3"/>
        <v>0</v>
      </c>
      <c r="H49" s="133">
        <f t="shared" si="4"/>
        <v>0</v>
      </c>
      <c r="I49" s="170"/>
      <c r="J49" s="67"/>
      <c r="K49" s="45"/>
      <c r="L49" s="42"/>
      <c r="M49" s="37"/>
      <c r="N49" s="55"/>
      <c r="O49" s="133">
        <f>L49*N49</f>
        <v>0</v>
      </c>
      <c r="P49" s="145"/>
      <c r="Q49" s="145"/>
      <c r="R49" s="145"/>
      <c r="S49" s="145"/>
      <c r="V49" s="149"/>
      <c r="W49" s="149"/>
      <c r="X49" s="149"/>
      <c r="Y49" s="149"/>
      <c r="Z49" s="150"/>
      <c r="AA49" s="150"/>
      <c r="AB49" s="150"/>
      <c r="AC49" s="150"/>
      <c r="AD49" s="150"/>
      <c r="AE49" s="150"/>
      <c r="AF49" s="150"/>
      <c r="AG49" s="150"/>
      <c r="AH49" s="150"/>
    </row>
    <row r="50" spans="1:36" s="148" customFormat="1" x14ac:dyDescent="0.25">
      <c r="A50" s="67" t="s">
        <v>64</v>
      </c>
      <c r="B50" s="45">
        <v>24</v>
      </c>
      <c r="C50" s="42">
        <v>1</v>
      </c>
      <c r="D50" s="37" t="s">
        <v>35</v>
      </c>
      <c r="E50" s="55">
        <v>15</v>
      </c>
      <c r="F50" s="133">
        <f t="shared" si="5"/>
        <v>15</v>
      </c>
      <c r="G50" s="139">
        <f t="shared" si="3"/>
        <v>16.666666666666668</v>
      </c>
      <c r="H50" s="133">
        <f t="shared" si="4"/>
        <v>4185</v>
      </c>
      <c r="I50" s="170"/>
      <c r="J50" s="67" t="s">
        <v>64</v>
      </c>
      <c r="K50" s="45">
        <v>50</v>
      </c>
      <c r="L50" s="42">
        <v>1</v>
      </c>
      <c r="M50" s="37" t="s">
        <v>35</v>
      </c>
      <c r="N50" s="55">
        <v>15</v>
      </c>
      <c r="O50" s="133">
        <f>L50*N50</f>
        <v>15</v>
      </c>
      <c r="P50" s="145"/>
      <c r="Q50" s="145"/>
      <c r="R50" s="145"/>
      <c r="S50" s="145"/>
      <c r="V50" s="149"/>
      <c r="W50" s="149"/>
      <c r="X50" s="149"/>
      <c r="Y50" s="149"/>
      <c r="Z50" s="150"/>
      <c r="AA50" s="150"/>
      <c r="AB50" s="150"/>
      <c r="AC50" s="150"/>
      <c r="AD50" s="150"/>
      <c r="AE50" s="150"/>
      <c r="AF50" s="150"/>
      <c r="AG50" s="150"/>
      <c r="AH50" s="150"/>
    </row>
    <row r="51" spans="1:36" s="148" customFormat="1" x14ac:dyDescent="0.25">
      <c r="A51" s="180"/>
      <c r="B51" s="181" t="s">
        <v>52</v>
      </c>
      <c r="C51" s="182"/>
      <c r="D51" s="181"/>
      <c r="E51" s="183"/>
      <c r="F51" s="56">
        <f>SUM(F31:F50)</f>
        <v>6299.096562701613</v>
      </c>
      <c r="G51" s="205">
        <f>F51/$B$5</f>
        <v>6998.9961807795698</v>
      </c>
      <c r="H51" s="134">
        <f>F51*$B$4</f>
        <v>1757447.94099375</v>
      </c>
      <c r="I51" s="170"/>
      <c r="J51" s="221" t="s">
        <v>52</v>
      </c>
      <c r="K51" s="222"/>
      <c r="L51" s="182"/>
      <c r="M51" s="181"/>
      <c r="N51" s="223"/>
      <c r="O51" s="56">
        <f>SUM(O31:O50)</f>
        <v>13404.09</v>
      </c>
      <c r="P51" s="145"/>
      <c r="Q51" s="145"/>
      <c r="R51" s="145"/>
      <c r="S51" s="145"/>
      <c r="V51" s="149"/>
      <c r="W51" s="149"/>
      <c r="X51" s="149"/>
      <c r="Y51" s="149"/>
      <c r="Z51" s="150"/>
      <c r="AA51" s="150"/>
      <c r="AB51" s="150"/>
      <c r="AC51" s="150"/>
      <c r="AD51" s="150"/>
      <c r="AE51" s="150"/>
      <c r="AF51" s="150"/>
      <c r="AG51" s="150"/>
      <c r="AH51" s="150"/>
    </row>
    <row r="52" spans="1:36" s="148" customFormat="1" x14ac:dyDescent="0.25">
      <c r="A52" s="125" t="s">
        <v>102</v>
      </c>
      <c r="B52" s="122">
        <v>25</v>
      </c>
      <c r="C52" s="41">
        <v>0.35</v>
      </c>
      <c r="D52" s="123" t="s">
        <v>62</v>
      </c>
      <c r="E52" s="139">
        <f>Investeringskalkyl!$F$66-Investeringskalkyl!F55/Investeringskalkyl!B14</f>
        <v>24094.053763440861</v>
      </c>
      <c r="F52" s="133">
        <f>C52/100*E52</f>
        <v>84.329188172043004</v>
      </c>
      <c r="G52" s="139">
        <f t="shared" si="3"/>
        <v>93.69909796893667</v>
      </c>
      <c r="H52" s="133">
        <f t="shared" si="4"/>
        <v>23527.843499999999</v>
      </c>
      <c r="I52" s="170"/>
      <c r="J52" s="237"/>
      <c r="K52" s="145"/>
      <c r="L52" s="238"/>
      <c r="M52" s="239"/>
      <c r="N52" s="240"/>
      <c r="O52" s="241"/>
      <c r="P52" s="145"/>
      <c r="Q52" s="145"/>
      <c r="R52" s="145"/>
      <c r="S52" s="145"/>
      <c r="V52" s="149"/>
      <c r="W52" s="149"/>
      <c r="X52" s="149"/>
      <c r="Y52" s="149"/>
      <c r="Z52" s="150"/>
      <c r="AA52" s="150"/>
      <c r="AB52" s="150"/>
      <c r="AC52" s="150"/>
      <c r="AD52" s="150"/>
      <c r="AE52" s="150"/>
      <c r="AF52" s="150"/>
      <c r="AG52" s="150"/>
      <c r="AH52" s="150"/>
    </row>
    <row r="53" spans="1:36" s="148" customFormat="1" ht="27.6" x14ac:dyDescent="0.25">
      <c r="A53" s="125" t="s">
        <v>224</v>
      </c>
      <c r="B53" s="253">
        <v>26</v>
      </c>
      <c r="C53" s="41">
        <v>1</v>
      </c>
      <c r="D53" s="123" t="s">
        <v>35</v>
      </c>
      <c r="E53" s="245">
        <v>139</v>
      </c>
      <c r="F53" s="133">
        <f>C53*E53</f>
        <v>139</v>
      </c>
      <c r="G53" s="139">
        <f>F53/$B$5</f>
        <v>154.44444444444443</v>
      </c>
      <c r="H53" s="133">
        <f>F53*$B$4</f>
        <v>38781</v>
      </c>
      <c r="I53" s="170"/>
      <c r="J53" s="125" t="s">
        <v>224</v>
      </c>
      <c r="K53" s="253">
        <v>51</v>
      </c>
      <c r="L53" s="41">
        <v>1</v>
      </c>
      <c r="M53" s="123" t="s">
        <v>35</v>
      </c>
      <c r="N53" s="245">
        <v>136</v>
      </c>
      <c r="O53" s="133">
        <f>L53*N53</f>
        <v>136</v>
      </c>
      <c r="P53" s="145"/>
      <c r="Q53" s="145"/>
      <c r="R53" s="145"/>
      <c r="S53" s="145"/>
      <c r="V53" s="149"/>
      <c r="W53" s="149"/>
      <c r="X53" s="149"/>
      <c r="Y53" s="149"/>
      <c r="Z53" s="150"/>
      <c r="AA53" s="150"/>
      <c r="AB53" s="150"/>
      <c r="AC53" s="150"/>
      <c r="AD53" s="150"/>
      <c r="AE53" s="150"/>
      <c r="AF53" s="150"/>
      <c r="AG53" s="150"/>
      <c r="AH53" s="150"/>
    </row>
    <row r="54" spans="1:36" s="148" customFormat="1" x14ac:dyDescent="0.25">
      <c r="A54" s="125" t="s">
        <v>53</v>
      </c>
      <c r="B54" s="184" t="s">
        <v>72</v>
      </c>
      <c r="C54" s="138">
        <f>($E$21+$E$31)/2</f>
        <v>11862.921875672044</v>
      </c>
      <c r="D54" s="123" t="s">
        <v>35</v>
      </c>
      <c r="E54" s="137">
        <f>Investeringskalkyl!$B$23</f>
        <v>0.05</v>
      </c>
      <c r="F54" s="133">
        <f>C54*E54</f>
        <v>593.14609378360217</v>
      </c>
      <c r="G54" s="139">
        <f t="shared" si="3"/>
        <v>659.0512153151135</v>
      </c>
      <c r="H54" s="133">
        <f t="shared" si="4"/>
        <v>165487.76016562502</v>
      </c>
      <c r="I54" s="170"/>
      <c r="J54" s="125" t="s">
        <v>53</v>
      </c>
      <c r="K54" s="184" t="s">
        <v>72</v>
      </c>
      <c r="L54" s="138">
        <f>($N$31)*$B$6/12</f>
        <v>10500</v>
      </c>
      <c r="M54" s="123" t="s">
        <v>35</v>
      </c>
      <c r="N54" s="137">
        <f>Investeringskalkyl!$B$23</f>
        <v>0.05</v>
      </c>
      <c r="O54" s="133">
        <f>L54*N54</f>
        <v>525</v>
      </c>
      <c r="P54" s="145"/>
      <c r="Q54" s="145"/>
      <c r="R54" s="145"/>
      <c r="S54" s="145"/>
      <c r="V54" s="149"/>
      <c r="W54" s="149"/>
      <c r="X54" s="149"/>
      <c r="Y54" s="149"/>
      <c r="Z54" s="150"/>
      <c r="AA54" s="150"/>
      <c r="AB54" s="150"/>
      <c r="AC54" s="150"/>
      <c r="AD54" s="150"/>
      <c r="AE54" s="150"/>
      <c r="AF54" s="150"/>
      <c r="AG54" s="150"/>
      <c r="AH54" s="150"/>
    </row>
    <row r="55" spans="1:36" s="148" customFormat="1" x14ac:dyDescent="0.25">
      <c r="A55" s="125" t="s">
        <v>128</v>
      </c>
      <c r="B55" s="184" t="s">
        <v>72</v>
      </c>
      <c r="C55" s="138">
        <f>(+($F$51-$F$31)+SUM(F60:F64))/2</f>
        <v>3218.7551612903226</v>
      </c>
      <c r="D55" s="123" t="s">
        <v>35</v>
      </c>
      <c r="E55" s="137">
        <f>Investeringskalkyl!$B$23</f>
        <v>0.05</v>
      </c>
      <c r="F55" s="133">
        <f>C55*E55</f>
        <v>160.93775806451615</v>
      </c>
      <c r="G55" s="139">
        <f t="shared" si="3"/>
        <v>178.81973118279572</v>
      </c>
      <c r="H55" s="133">
        <f t="shared" si="4"/>
        <v>44901.634500000007</v>
      </c>
      <c r="I55" s="170"/>
      <c r="J55" s="125" t="s">
        <v>128</v>
      </c>
      <c r="K55" s="184" t="s">
        <v>72</v>
      </c>
      <c r="L55" s="138">
        <f>(($O$51-$O$31)+SUM(O60:O64))*$B$6/12/2</f>
        <v>5801.5352419354831</v>
      </c>
      <c r="M55" s="123" t="s">
        <v>35</v>
      </c>
      <c r="N55" s="137">
        <f>Investeringskalkyl!$B$23</f>
        <v>0.05</v>
      </c>
      <c r="O55" s="133">
        <f>L55*N55</f>
        <v>290.07676209677419</v>
      </c>
      <c r="P55" s="145"/>
      <c r="Q55" s="145"/>
      <c r="R55" s="145"/>
      <c r="S55" s="145"/>
      <c r="V55" s="149"/>
      <c r="W55" s="149"/>
      <c r="X55" s="149"/>
      <c r="Y55" s="149"/>
      <c r="Z55" s="150"/>
      <c r="AA55" s="150"/>
      <c r="AB55" s="150"/>
      <c r="AC55" s="150"/>
      <c r="AD55" s="150"/>
      <c r="AE55" s="150"/>
      <c r="AF55" s="150"/>
      <c r="AG55" s="150"/>
      <c r="AH55" s="150"/>
    </row>
    <row r="56" spans="1:36" s="148" customFormat="1" x14ac:dyDescent="0.25">
      <c r="A56" s="125"/>
      <c r="B56" s="184"/>
      <c r="C56" s="126"/>
      <c r="D56" s="124"/>
      <c r="E56" s="224"/>
      <c r="F56" s="133">
        <f>C56*E56</f>
        <v>0</v>
      </c>
      <c r="G56" s="139">
        <f t="shared" si="3"/>
        <v>0</v>
      </c>
      <c r="H56" s="133">
        <f t="shared" si="4"/>
        <v>0</v>
      </c>
      <c r="I56" s="170"/>
      <c r="J56" s="125"/>
      <c r="K56" s="184"/>
      <c r="L56" s="126"/>
      <c r="M56" s="124"/>
      <c r="N56" s="224"/>
      <c r="O56" s="133">
        <f>L56*N56</f>
        <v>0</v>
      </c>
      <c r="P56" s="145"/>
      <c r="Q56" s="145"/>
      <c r="R56" s="145"/>
      <c r="S56" s="145"/>
      <c r="V56" s="149"/>
      <c r="W56" s="149"/>
      <c r="X56" s="149"/>
      <c r="Y56" s="149"/>
      <c r="Z56" s="150"/>
      <c r="AA56" s="150"/>
      <c r="AB56" s="150"/>
      <c r="AC56" s="150"/>
      <c r="AD56" s="150"/>
      <c r="AE56" s="150"/>
      <c r="AF56" s="150"/>
      <c r="AG56" s="150"/>
      <c r="AH56" s="150"/>
    </row>
    <row r="57" spans="1:36" s="148" customFormat="1" x14ac:dyDescent="0.25">
      <c r="A57" s="185"/>
      <c r="B57" s="181" t="s">
        <v>54</v>
      </c>
      <c r="C57" s="186" t="s">
        <v>34</v>
      </c>
      <c r="D57" s="181"/>
      <c r="E57" s="183" t="s">
        <v>34</v>
      </c>
      <c r="F57" s="56">
        <f>SUM(F52:F56)</f>
        <v>977.41304002016136</v>
      </c>
      <c r="G57" s="205">
        <f>F57/$B$5</f>
        <v>1086.0144889112903</v>
      </c>
      <c r="H57" s="134">
        <f t="shared" ref="H57:H66" si="7">F57*$B$4</f>
        <v>272698.23816562502</v>
      </c>
      <c r="I57" s="170"/>
      <c r="J57" s="221" t="s">
        <v>54</v>
      </c>
      <c r="K57" s="181"/>
      <c r="L57" s="186"/>
      <c r="M57" s="181"/>
      <c r="N57" s="183" t="s">
        <v>34</v>
      </c>
      <c r="O57" s="56">
        <f>SUM(O52:O56)</f>
        <v>951.07676209677425</v>
      </c>
      <c r="P57" s="145"/>
      <c r="Q57" s="145"/>
      <c r="R57" s="145"/>
      <c r="S57" s="145"/>
      <c r="V57" s="149"/>
      <c r="W57" s="149"/>
      <c r="X57" s="149"/>
      <c r="Y57" s="149"/>
      <c r="Z57" s="150"/>
      <c r="AA57" s="150"/>
      <c r="AB57" s="150"/>
      <c r="AC57" s="150"/>
      <c r="AD57" s="150"/>
      <c r="AE57" s="150"/>
      <c r="AF57" s="150"/>
      <c r="AG57" s="150"/>
      <c r="AH57" s="150"/>
    </row>
    <row r="58" spans="1:36" s="148" customFormat="1" x14ac:dyDescent="0.25">
      <c r="A58" s="125" t="s">
        <v>55</v>
      </c>
      <c r="B58" s="184" t="s">
        <v>72</v>
      </c>
      <c r="C58" s="126">
        <f>IF(Investeringskalkyl!$C$14="dikor",1,0)</f>
        <v>1</v>
      </c>
      <c r="D58" s="124" t="s">
        <v>35</v>
      </c>
      <c r="E58" s="139">
        <f>(Investeringskalkyl!$F$67-Investeringskalkyl!F55/Investeringskalkyl!B14)*(Investeringskalkyl!$B$23/(1-(1+Investeringskalkyl!$B$23)^(-Investeringskalkyl!$B$26)))</f>
        <v>1906.9008267726213</v>
      </c>
      <c r="F58" s="133">
        <f t="shared" ref="F58:F64" si="8">C58*E58</f>
        <v>1906.9008267726213</v>
      </c>
      <c r="G58" s="139">
        <f t="shared" si="3"/>
        <v>2118.7786964140237</v>
      </c>
      <c r="H58" s="133">
        <f t="shared" si="7"/>
        <v>532025.33066956128</v>
      </c>
      <c r="I58" s="170"/>
      <c r="J58" s="237"/>
      <c r="K58" s="239"/>
      <c r="L58" s="242"/>
      <c r="M58" s="239"/>
      <c r="N58" s="243"/>
      <c r="O58" s="241"/>
      <c r="P58" s="145"/>
      <c r="Q58" s="145"/>
      <c r="R58" s="145"/>
      <c r="S58" s="145"/>
      <c r="V58" s="149"/>
      <c r="W58" s="149"/>
      <c r="X58" s="149"/>
      <c r="Y58" s="149"/>
      <c r="Z58" s="150"/>
      <c r="AA58" s="150"/>
      <c r="AB58" s="150"/>
      <c r="AC58" s="150"/>
      <c r="AD58" s="150"/>
      <c r="AE58" s="150"/>
      <c r="AF58" s="150"/>
      <c r="AG58" s="150"/>
      <c r="AH58" s="150"/>
    </row>
    <row r="59" spans="1:36" s="148" customFormat="1" ht="27.6" x14ac:dyDescent="0.25">
      <c r="A59" s="125" t="s">
        <v>223</v>
      </c>
      <c r="B59" s="252">
        <v>27</v>
      </c>
      <c r="C59" s="126">
        <v>1</v>
      </c>
      <c r="D59" s="124" t="s">
        <v>35</v>
      </c>
      <c r="E59" s="245">
        <v>122</v>
      </c>
      <c r="F59" s="133">
        <f t="shared" si="8"/>
        <v>122</v>
      </c>
      <c r="G59" s="139">
        <f>F59/$B$5</f>
        <v>135.55555555555554</v>
      </c>
      <c r="H59" s="133">
        <f t="shared" si="7"/>
        <v>34038</v>
      </c>
      <c r="I59" s="170"/>
      <c r="J59" s="125" t="s">
        <v>223</v>
      </c>
      <c r="K59" s="252">
        <v>52</v>
      </c>
      <c r="L59" s="126">
        <v>1</v>
      </c>
      <c r="M59" s="124" t="s">
        <v>35</v>
      </c>
      <c r="N59" s="245">
        <v>119</v>
      </c>
      <c r="O59" s="133">
        <f>L59*N59</f>
        <v>119</v>
      </c>
      <c r="P59" s="145"/>
      <c r="Q59" s="145"/>
      <c r="R59" s="145"/>
      <c r="S59" s="145"/>
      <c r="V59" s="149"/>
      <c r="W59" s="149"/>
      <c r="X59" s="149"/>
      <c r="Y59" s="149"/>
      <c r="Z59" s="150"/>
      <c r="AA59" s="150"/>
      <c r="AB59" s="150"/>
      <c r="AC59" s="150"/>
      <c r="AD59" s="150"/>
      <c r="AE59" s="150"/>
      <c r="AF59" s="150"/>
      <c r="AG59" s="150"/>
      <c r="AH59" s="150"/>
    </row>
    <row r="60" spans="1:36" s="148" customFormat="1" ht="27.6" x14ac:dyDescent="0.25">
      <c r="A60" s="67" t="s">
        <v>67</v>
      </c>
      <c r="B60" s="45">
        <v>28</v>
      </c>
      <c r="C60" s="42">
        <v>1</v>
      </c>
      <c r="D60" s="124" t="s">
        <v>35</v>
      </c>
      <c r="E60" s="254">
        <f>14500/(270+40)</f>
        <v>46.774193548387096</v>
      </c>
      <c r="F60" s="133">
        <f t="shared" si="8"/>
        <v>46.774193548387096</v>
      </c>
      <c r="G60" s="139">
        <f t="shared" si="3"/>
        <v>51.971326164874547</v>
      </c>
      <c r="H60" s="133">
        <f t="shared" si="7"/>
        <v>13050</v>
      </c>
      <c r="I60" s="170"/>
      <c r="J60" s="67" t="s">
        <v>67</v>
      </c>
      <c r="K60" s="252">
        <v>53</v>
      </c>
      <c r="L60" s="126">
        <v>1</v>
      </c>
      <c r="M60" s="124" t="s">
        <v>35</v>
      </c>
      <c r="N60" s="255">
        <f>E60</f>
        <v>46.774193548387096</v>
      </c>
      <c r="O60" s="133">
        <f t="shared" ref="O60:O61" si="9">L60*N60</f>
        <v>46.774193548387096</v>
      </c>
      <c r="P60" s="145"/>
      <c r="Q60" s="145"/>
      <c r="R60" s="145"/>
      <c r="S60" s="145"/>
      <c r="V60" s="149"/>
      <c r="W60" s="149"/>
      <c r="X60" s="149"/>
      <c r="Y60" s="149"/>
      <c r="Z60" s="150"/>
      <c r="AA60" s="150"/>
      <c r="AB60" s="150"/>
      <c r="AC60" s="150"/>
      <c r="AD60" s="150"/>
      <c r="AE60" s="150"/>
      <c r="AF60" s="150"/>
      <c r="AG60" s="150"/>
      <c r="AH60" s="150"/>
    </row>
    <row r="61" spans="1:36" s="148" customFormat="1" x14ac:dyDescent="0.25">
      <c r="A61" s="67" t="s">
        <v>68</v>
      </c>
      <c r="B61" s="52">
        <v>29</v>
      </c>
      <c r="C61" s="42">
        <v>1</v>
      </c>
      <c r="D61" s="124" t="s">
        <v>35</v>
      </c>
      <c r="E61" s="227">
        <f>4500/(270+40)</f>
        <v>14.516129032258064</v>
      </c>
      <c r="F61" s="133">
        <f t="shared" si="8"/>
        <v>14.516129032258064</v>
      </c>
      <c r="G61" s="139">
        <f t="shared" si="3"/>
        <v>16.129032258064516</v>
      </c>
      <c r="H61" s="133">
        <f t="shared" si="7"/>
        <v>4050</v>
      </c>
      <c r="I61" s="145"/>
      <c r="J61" s="67" t="s">
        <v>68</v>
      </c>
      <c r="K61" s="252">
        <v>54</v>
      </c>
      <c r="L61" s="126">
        <v>1</v>
      </c>
      <c r="M61" s="124" t="s">
        <v>35</v>
      </c>
      <c r="N61" s="255">
        <f>E61</f>
        <v>14.516129032258064</v>
      </c>
      <c r="O61" s="133">
        <f t="shared" si="9"/>
        <v>14.516129032258064</v>
      </c>
      <c r="P61" s="145"/>
      <c r="Q61" s="145"/>
      <c r="R61" s="145"/>
      <c r="S61" s="145"/>
      <c r="V61" s="149"/>
      <c r="W61" s="149"/>
      <c r="X61" s="149"/>
      <c r="Y61" s="149"/>
      <c r="Z61" s="150"/>
      <c r="AA61" s="150"/>
      <c r="AB61" s="150"/>
      <c r="AC61" s="150"/>
      <c r="AD61" s="150"/>
      <c r="AE61" s="150"/>
      <c r="AF61" s="150"/>
      <c r="AG61" s="150"/>
      <c r="AH61" s="150"/>
    </row>
    <row r="62" spans="1:36" s="148" customFormat="1" ht="27.6" x14ac:dyDescent="0.25">
      <c r="A62" s="67" t="s">
        <v>61</v>
      </c>
      <c r="B62" s="45">
        <v>30</v>
      </c>
      <c r="C62" s="40">
        <v>6.6</v>
      </c>
      <c r="D62" s="37" t="s">
        <v>56</v>
      </c>
      <c r="E62" s="55">
        <v>260</v>
      </c>
      <c r="F62" s="133">
        <f t="shared" si="8"/>
        <v>1716</v>
      </c>
      <c r="G62" s="139">
        <f t="shared" si="3"/>
        <v>1906.6666666666665</v>
      </c>
      <c r="H62" s="133">
        <f t="shared" si="7"/>
        <v>478764</v>
      </c>
      <c r="I62" s="170"/>
      <c r="J62" s="67" t="s">
        <v>61</v>
      </c>
      <c r="K62" s="252">
        <v>55</v>
      </c>
      <c r="L62" s="40">
        <v>4.4000000000000004</v>
      </c>
      <c r="M62" s="37" t="s">
        <v>56</v>
      </c>
      <c r="N62" s="55">
        <f>E62</f>
        <v>260</v>
      </c>
      <c r="O62" s="133">
        <f>L62*N62</f>
        <v>1144</v>
      </c>
      <c r="P62" s="145"/>
      <c r="Q62" s="145"/>
      <c r="R62" s="145"/>
      <c r="S62" s="145"/>
      <c r="V62" s="149"/>
      <c r="W62" s="149"/>
      <c r="X62" s="149"/>
      <c r="Y62" s="149"/>
      <c r="Z62" s="150"/>
      <c r="AA62" s="150"/>
      <c r="AB62" s="150"/>
      <c r="AC62" s="150"/>
      <c r="AD62" s="150"/>
      <c r="AE62" s="150"/>
      <c r="AF62" s="150"/>
      <c r="AG62" s="150"/>
      <c r="AH62" s="150"/>
    </row>
    <row r="63" spans="1:36" s="148" customFormat="1" x14ac:dyDescent="0.25">
      <c r="A63" s="67" t="s">
        <v>111</v>
      </c>
      <c r="B63" s="45">
        <v>31</v>
      </c>
      <c r="C63" s="40">
        <v>0.5</v>
      </c>
      <c r="D63" s="37" t="s">
        <v>56</v>
      </c>
      <c r="E63" s="55">
        <v>360</v>
      </c>
      <c r="F63" s="133">
        <f t="shared" si="8"/>
        <v>180</v>
      </c>
      <c r="G63" s="139">
        <f t="shared" si="3"/>
        <v>200</v>
      </c>
      <c r="H63" s="133">
        <f t="shared" si="7"/>
        <v>50220</v>
      </c>
      <c r="I63" s="170"/>
      <c r="J63" s="67" t="s">
        <v>111</v>
      </c>
      <c r="K63" s="45">
        <v>56</v>
      </c>
      <c r="L63" s="41">
        <v>0.35</v>
      </c>
      <c r="M63" s="37" t="s">
        <v>56</v>
      </c>
      <c r="N63" s="55">
        <f>E63</f>
        <v>360</v>
      </c>
      <c r="O63" s="133">
        <f>L63*N63</f>
        <v>125.99999999999999</v>
      </c>
      <c r="P63" s="145"/>
      <c r="Q63" s="145"/>
      <c r="R63" s="145"/>
      <c r="S63" s="145"/>
      <c r="T63" s="145"/>
      <c r="U63" s="145"/>
      <c r="X63" s="149"/>
      <c r="Y63" s="149"/>
      <c r="Z63" s="149"/>
      <c r="AA63" s="149"/>
      <c r="AB63" s="150"/>
      <c r="AC63" s="150"/>
      <c r="AD63" s="150"/>
      <c r="AE63" s="150"/>
      <c r="AF63" s="150"/>
      <c r="AG63" s="150"/>
      <c r="AH63" s="150"/>
      <c r="AI63" s="150"/>
      <c r="AJ63" s="150"/>
    </row>
    <row r="64" spans="1:36" s="148" customFormat="1" x14ac:dyDescent="0.25">
      <c r="A64" s="67"/>
      <c r="B64" s="45"/>
      <c r="C64" s="42"/>
      <c r="D64" s="37"/>
      <c r="E64" s="55"/>
      <c r="F64" s="133">
        <f t="shared" si="8"/>
        <v>0</v>
      </c>
      <c r="G64" s="139">
        <f t="shared" si="3"/>
        <v>0</v>
      </c>
      <c r="H64" s="133">
        <f t="shared" si="7"/>
        <v>0</v>
      </c>
      <c r="I64" s="170"/>
      <c r="J64" s="67"/>
      <c r="K64" s="45"/>
      <c r="L64" s="42"/>
      <c r="M64" s="37"/>
      <c r="N64" s="55"/>
      <c r="O64" s="133">
        <f>L64*N64</f>
        <v>0</v>
      </c>
      <c r="P64" s="145"/>
      <c r="Q64" s="145"/>
      <c r="R64" s="145"/>
      <c r="S64" s="145"/>
      <c r="T64" s="145"/>
      <c r="U64" s="145"/>
      <c r="X64" s="149"/>
      <c r="Y64" s="149"/>
      <c r="Z64" s="149"/>
      <c r="AA64" s="149"/>
      <c r="AB64" s="150"/>
      <c r="AC64" s="150"/>
      <c r="AD64" s="150"/>
      <c r="AE64" s="150"/>
      <c r="AF64" s="150"/>
      <c r="AG64" s="150"/>
      <c r="AH64" s="150"/>
      <c r="AI64" s="150"/>
      <c r="AJ64" s="150"/>
    </row>
    <row r="65" spans="1:36" s="148" customFormat="1" x14ac:dyDescent="0.25">
      <c r="A65" s="187"/>
      <c r="B65" s="181" t="s">
        <v>57</v>
      </c>
      <c r="C65" s="182"/>
      <c r="D65" s="181"/>
      <c r="E65" s="188"/>
      <c r="F65" s="56">
        <f>SUM(F58:F64)</f>
        <v>3986.1911493532666</v>
      </c>
      <c r="G65" s="205">
        <f>F65/$B$5</f>
        <v>4429.1012770591851</v>
      </c>
      <c r="H65" s="134">
        <f t="shared" si="7"/>
        <v>1112147.3306695614</v>
      </c>
      <c r="I65" s="145"/>
      <c r="J65" s="221" t="s">
        <v>57</v>
      </c>
      <c r="K65" s="181"/>
      <c r="L65" s="182"/>
      <c r="M65" s="181"/>
      <c r="N65" s="188"/>
      <c r="O65" s="56">
        <f>SUM(O58:O64)</f>
        <v>1450.2903225806451</v>
      </c>
      <c r="P65" s="145"/>
      <c r="Q65" s="145"/>
      <c r="R65" s="145"/>
      <c r="S65" s="145"/>
      <c r="T65" s="145"/>
      <c r="U65" s="145"/>
      <c r="X65" s="149"/>
      <c r="Y65" s="149"/>
      <c r="Z65" s="149"/>
      <c r="AA65" s="149"/>
      <c r="AB65" s="150"/>
      <c r="AC65" s="150"/>
      <c r="AD65" s="150"/>
      <c r="AE65" s="150"/>
      <c r="AF65" s="150"/>
      <c r="AG65" s="150"/>
      <c r="AH65" s="150"/>
      <c r="AI65" s="150"/>
      <c r="AJ65" s="150"/>
    </row>
    <row r="66" spans="1:36" s="148" customFormat="1" x14ac:dyDescent="0.25">
      <c r="A66" s="180" t="s">
        <v>73</v>
      </c>
      <c r="B66" s="181"/>
      <c r="C66" s="182"/>
      <c r="D66" s="181"/>
      <c r="E66" s="188"/>
      <c r="F66" s="56">
        <f>$F$51+$F$57+$F$65</f>
        <v>11262.700752075041</v>
      </c>
      <c r="G66" s="205">
        <f t="shared" si="3"/>
        <v>12514.111946750045</v>
      </c>
      <c r="H66" s="134">
        <f t="shared" si="7"/>
        <v>3142293.5098289363</v>
      </c>
      <c r="I66" s="145"/>
      <c r="J66" s="180" t="s">
        <v>73</v>
      </c>
      <c r="K66" s="181"/>
      <c r="L66" s="182"/>
      <c r="M66" s="181"/>
      <c r="N66" s="188"/>
      <c r="O66" s="56">
        <f>$O$51+$O$57+$O$65</f>
        <v>15805.45708467742</v>
      </c>
      <c r="P66" s="145"/>
      <c r="Q66" s="145"/>
      <c r="R66" s="145"/>
      <c r="S66" s="145"/>
      <c r="T66" s="145"/>
      <c r="U66" s="145"/>
      <c r="X66" s="149"/>
      <c r="Y66" s="149"/>
      <c r="Z66" s="149"/>
      <c r="AA66" s="149"/>
      <c r="AB66" s="150"/>
      <c r="AC66" s="150"/>
      <c r="AD66" s="150"/>
      <c r="AE66" s="150"/>
      <c r="AF66" s="150"/>
      <c r="AG66" s="150"/>
      <c r="AH66" s="150"/>
      <c r="AI66" s="150"/>
      <c r="AJ66" s="150"/>
    </row>
    <row r="67" spans="1:36" s="148" customFormat="1" x14ac:dyDescent="0.25">
      <c r="A67" s="125"/>
      <c r="B67" s="145"/>
      <c r="C67" s="145"/>
      <c r="D67" s="145"/>
      <c r="E67" s="145"/>
      <c r="F67" s="135"/>
      <c r="G67" s="206"/>
      <c r="H67" s="225"/>
      <c r="I67" s="145"/>
      <c r="J67" s="147"/>
      <c r="K67" s="147"/>
      <c r="L67" s="145"/>
      <c r="M67" s="170"/>
      <c r="N67" s="145"/>
      <c r="O67" s="145"/>
      <c r="P67" s="145"/>
      <c r="Q67" s="145"/>
      <c r="R67" s="145"/>
      <c r="S67" s="145"/>
      <c r="T67" s="145"/>
      <c r="U67" s="145"/>
      <c r="X67" s="149"/>
      <c r="Y67" s="149"/>
      <c r="Z67" s="149"/>
      <c r="AA67" s="149"/>
      <c r="AB67" s="150"/>
      <c r="AC67" s="150"/>
      <c r="AD67" s="150"/>
      <c r="AE67" s="150"/>
      <c r="AF67" s="150"/>
      <c r="AG67" s="150"/>
      <c r="AH67" s="150"/>
      <c r="AI67" s="150"/>
      <c r="AJ67" s="150"/>
    </row>
    <row r="68" spans="1:36" s="148" customFormat="1" x14ac:dyDescent="0.25">
      <c r="A68" s="189"/>
      <c r="C68" s="145"/>
      <c r="D68" s="145"/>
      <c r="E68" s="190"/>
      <c r="F68" s="126"/>
      <c r="G68" s="206"/>
      <c r="H68" s="145"/>
      <c r="I68" s="192"/>
      <c r="J68" s="192"/>
      <c r="K68" s="145"/>
      <c r="L68" s="147"/>
      <c r="M68" s="147"/>
      <c r="N68" s="147"/>
      <c r="O68" s="170"/>
      <c r="P68" s="145"/>
      <c r="Q68" s="145"/>
      <c r="T68" s="149"/>
      <c r="U68" s="149"/>
      <c r="V68" s="149"/>
      <c r="W68" s="149"/>
      <c r="X68" s="150"/>
      <c r="Y68" s="150"/>
      <c r="Z68" s="150"/>
      <c r="AA68" s="150"/>
      <c r="AB68" s="150"/>
      <c r="AC68" s="150"/>
      <c r="AD68" s="150"/>
      <c r="AE68" s="150"/>
      <c r="AF68" s="150"/>
    </row>
    <row r="69" spans="1:36" s="148" customFormat="1" x14ac:dyDescent="0.25">
      <c r="A69" s="189"/>
      <c r="C69" s="145"/>
      <c r="D69" s="145"/>
      <c r="E69" s="190"/>
      <c r="G69" s="206"/>
      <c r="H69" s="145"/>
      <c r="I69" s="193"/>
      <c r="J69" s="192"/>
      <c r="K69" s="145"/>
      <c r="L69" s="147"/>
      <c r="M69" s="147"/>
      <c r="N69" s="147"/>
      <c r="O69" s="170"/>
      <c r="P69" s="145"/>
      <c r="Q69" s="145"/>
      <c r="T69" s="149"/>
      <c r="U69" s="149"/>
      <c r="V69" s="149"/>
      <c r="W69" s="149"/>
      <c r="X69" s="150"/>
      <c r="Y69" s="150"/>
      <c r="Z69" s="150"/>
      <c r="AA69" s="150"/>
      <c r="AB69" s="150"/>
      <c r="AC69" s="150"/>
      <c r="AD69" s="150"/>
      <c r="AE69" s="150"/>
      <c r="AF69" s="150"/>
    </row>
    <row r="70" spans="1:36" s="148" customFormat="1" x14ac:dyDescent="0.25">
      <c r="A70" s="189"/>
      <c r="C70" s="145"/>
      <c r="D70" s="145"/>
      <c r="E70" s="190"/>
      <c r="G70" s="206"/>
      <c r="H70" s="145"/>
      <c r="I70" s="193"/>
      <c r="J70" s="192"/>
      <c r="K70" s="145"/>
      <c r="L70" s="147"/>
      <c r="M70" s="147"/>
      <c r="N70" s="147"/>
      <c r="O70" s="170"/>
      <c r="P70" s="145"/>
      <c r="Q70" s="145"/>
      <c r="T70" s="149"/>
      <c r="U70" s="149"/>
      <c r="V70" s="149"/>
      <c r="W70" s="149"/>
      <c r="X70" s="150"/>
      <c r="Y70" s="150"/>
      <c r="Z70" s="150"/>
      <c r="AA70" s="150"/>
      <c r="AB70" s="150"/>
      <c r="AC70" s="150"/>
      <c r="AD70" s="150"/>
      <c r="AE70" s="150"/>
      <c r="AF70" s="150"/>
    </row>
    <row r="71" spans="1:36" s="148" customFormat="1" x14ac:dyDescent="0.25">
      <c r="A71" s="189"/>
      <c r="C71" s="145"/>
      <c r="D71" s="145"/>
      <c r="E71" s="190"/>
      <c r="G71" s="206"/>
      <c r="H71" s="145"/>
      <c r="I71" s="192"/>
      <c r="J71" s="192"/>
      <c r="K71" s="145"/>
      <c r="L71" s="147"/>
      <c r="M71" s="147"/>
      <c r="N71" s="147"/>
      <c r="O71" s="170"/>
      <c r="P71" s="145"/>
      <c r="Q71" s="145"/>
      <c r="T71" s="149"/>
      <c r="U71" s="149"/>
      <c r="V71" s="149"/>
      <c r="W71" s="149"/>
      <c r="X71" s="150"/>
      <c r="Y71" s="150"/>
      <c r="Z71" s="150"/>
      <c r="AA71" s="150"/>
      <c r="AB71" s="150"/>
      <c r="AC71" s="150"/>
    </row>
    <row r="72" spans="1:36" s="148" customFormat="1" x14ac:dyDescent="0.25">
      <c r="A72" s="189"/>
      <c r="C72" s="145"/>
      <c r="D72" s="145"/>
      <c r="E72" s="190"/>
      <c r="F72" s="247"/>
      <c r="G72" s="206"/>
      <c r="H72" s="145"/>
      <c r="I72" s="192"/>
      <c r="J72" s="192"/>
      <c r="K72" s="145"/>
      <c r="L72" s="147"/>
      <c r="M72" s="147"/>
      <c r="N72" s="147"/>
      <c r="O72" s="170"/>
      <c r="P72" s="145"/>
      <c r="Q72" s="145"/>
      <c r="T72" s="149"/>
      <c r="U72" s="149"/>
      <c r="V72" s="149"/>
      <c r="W72" s="149"/>
      <c r="X72" s="150"/>
      <c r="Y72" s="150"/>
      <c r="Z72" s="150"/>
      <c r="AA72" s="150"/>
      <c r="AB72" s="150"/>
      <c r="AC72" s="150"/>
    </row>
    <row r="73" spans="1:36" s="148" customFormat="1" x14ac:dyDescent="0.25">
      <c r="A73" s="189"/>
      <c r="C73" s="145"/>
      <c r="D73" s="145"/>
      <c r="E73" s="190"/>
      <c r="G73" s="147"/>
      <c r="H73" s="145"/>
      <c r="I73" s="147"/>
      <c r="J73" s="147"/>
      <c r="K73" s="170"/>
      <c r="L73" s="145"/>
      <c r="M73" s="145"/>
      <c r="N73" s="145"/>
      <c r="O73" s="145"/>
      <c r="P73" s="145"/>
      <c r="Q73" s="145"/>
      <c r="T73" s="149"/>
      <c r="U73" s="149"/>
      <c r="V73" s="149"/>
      <c r="W73" s="149"/>
      <c r="X73" s="150"/>
      <c r="Y73" s="150"/>
      <c r="Z73" s="150"/>
      <c r="AA73" s="150"/>
      <c r="AB73" s="150"/>
      <c r="AC73" s="150"/>
    </row>
    <row r="74" spans="1:36" x14ac:dyDescent="0.25">
      <c r="A74" s="189"/>
      <c r="B74" s="148"/>
      <c r="C74" s="145"/>
      <c r="D74" s="145"/>
      <c r="E74" s="190"/>
      <c r="F74" s="148"/>
      <c r="G74" s="147"/>
      <c r="H74" s="145"/>
      <c r="I74" s="147"/>
      <c r="J74" s="147"/>
      <c r="K74" s="170"/>
      <c r="L74" s="145"/>
      <c r="M74" s="145"/>
      <c r="N74" s="145"/>
      <c r="O74" s="145"/>
      <c r="P74" s="145"/>
    </row>
    <row r="75" spans="1:36" x14ac:dyDescent="0.25">
      <c r="A75" s="148"/>
      <c r="B75" s="148"/>
      <c r="C75" s="145"/>
      <c r="D75" s="145"/>
      <c r="E75" s="190"/>
      <c r="F75" s="148"/>
      <c r="G75" s="147"/>
      <c r="H75" s="145"/>
      <c r="I75" s="147"/>
      <c r="J75" s="147"/>
      <c r="K75" s="170"/>
      <c r="L75" s="145"/>
      <c r="M75" s="145"/>
      <c r="N75" s="145"/>
      <c r="O75" s="145"/>
      <c r="P75" s="145"/>
    </row>
    <row r="76" spans="1:36" x14ac:dyDescent="0.25">
      <c r="A76" s="148"/>
      <c r="B76" s="148"/>
      <c r="C76" s="145"/>
      <c r="D76" s="145"/>
      <c r="E76" s="190"/>
      <c r="F76" s="148"/>
      <c r="G76" s="147"/>
      <c r="H76" s="145"/>
      <c r="I76" s="147"/>
      <c r="J76" s="147"/>
      <c r="K76" s="170"/>
      <c r="L76" s="145"/>
      <c r="M76" s="145"/>
      <c r="N76" s="145"/>
      <c r="O76" s="145"/>
      <c r="P76" s="145"/>
    </row>
    <row r="77" spans="1:36" x14ac:dyDescent="0.25">
      <c r="A77" s="148"/>
      <c r="B77" s="148"/>
      <c r="C77" s="145"/>
      <c r="D77" s="145"/>
      <c r="E77" s="190"/>
      <c r="F77" s="148"/>
      <c r="G77" s="147"/>
      <c r="H77" s="145"/>
      <c r="I77" s="147"/>
      <c r="J77" s="147"/>
      <c r="K77" s="170"/>
      <c r="L77" s="145"/>
      <c r="M77" s="145"/>
      <c r="N77" s="145"/>
      <c r="O77" s="145"/>
      <c r="P77" s="145"/>
    </row>
    <row r="78" spans="1:36" x14ac:dyDescent="0.25">
      <c r="A78" s="148"/>
      <c r="B78" s="148"/>
      <c r="C78" s="145"/>
      <c r="D78" s="145"/>
      <c r="E78" s="190"/>
      <c r="F78" s="148"/>
      <c r="G78" s="147"/>
      <c r="H78" s="145"/>
      <c r="I78" s="147"/>
      <c r="J78" s="147"/>
      <c r="K78" s="170"/>
      <c r="L78" s="145"/>
      <c r="M78" s="145"/>
      <c r="N78" s="145"/>
      <c r="O78" s="145"/>
      <c r="P78" s="145"/>
    </row>
    <row r="79" spans="1:36" x14ac:dyDescent="0.25">
      <c r="C79" s="145"/>
      <c r="D79" s="145"/>
      <c r="E79" s="190"/>
      <c r="F79" s="148"/>
      <c r="H79" s="145"/>
    </row>
    <row r="80" spans="1:36" x14ac:dyDescent="0.25">
      <c r="C80" s="145"/>
      <c r="D80" s="145"/>
      <c r="E80" s="190"/>
      <c r="F80" s="148"/>
      <c r="H80" s="145"/>
    </row>
    <row r="81" spans="2:2" x14ac:dyDescent="0.25">
      <c r="B81" s="194"/>
    </row>
    <row r="82" spans="2:2" x14ac:dyDescent="0.25">
      <c r="B82" s="194"/>
    </row>
    <row r="83" spans="2:2" x14ac:dyDescent="0.25">
      <c r="B83" s="194"/>
    </row>
  </sheetData>
  <pageMargins left="0.7" right="0.7" top="0.75" bottom="0.75" header="0.3" footer="0.3"/>
  <pageSetup paperSize="8" scale="6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A73"/>
  <sheetViews>
    <sheetView zoomScaleNormal="100" workbookViewId="0">
      <selection activeCell="E10" sqref="E10:E11"/>
    </sheetView>
  </sheetViews>
  <sheetFormatPr defaultColWidth="9.109375" defaultRowHeight="13.8" x14ac:dyDescent="0.25"/>
  <cols>
    <col min="1" max="1" width="30.6640625" style="146" customWidth="1"/>
    <col min="2" max="2" width="14.109375" style="146" customWidth="1"/>
    <col min="3" max="3" width="13.109375" style="146" bestFit="1" customWidth="1"/>
    <col min="4" max="4" width="9.109375" style="146" customWidth="1"/>
    <col min="5" max="5" width="15.33203125" style="146" customWidth="1"/>
    <col min="6" max="6" width="14.44140625" style="146" bestFit="1" customWidth="1"/>
    <col min="7" max="7" width="14.88671875" style="146" customWidth="1"/>
    <col min="8" max="8" width="15.6640625" style="146" bestFit="1" customWidth="1"/>
    <col min="9" max="9" width="9.109375" style="146"/>
    <col min="10" max="10" width="9.5546875" style="146" bestFit="1" customWidth="1"/>
    <col min="11" max="16384" width="9.109375" style="146"/>
  </cols>
  <sheetData>
    <row r="1" spans="1:38" ht="27.6" x14ac:dyDescent="0.45">
      <c r="A1" s="154" t="s">
        <v>74</v>
      </c>
    </row>
    <row r="2" spans="1:38" ht="14.4" thickBot="1" x14ac:dyDescent="0.3"/>
    <row r="3" spans="1:38" x14ac:dyDescent="0.25">
      <c r="A3" s="155" t="s">
        <v>60</v>
      </c>
      <c r="B3" s="156"/>
      <c r="C3" s="157"/>
    </row>
    <row r="4" spans="1:38" x14ac:dyDescent="0.25">
      <c r="A4" s="128" t="s">
        <v>21</v>
      </c>
      <c r="B4" s="158">
        <f>IF(Investeringskalkyl!$C$14="suggor",Investeringskalkyl!$B$14,0)</f>
        <v>0</v>
      </c>
      <c r="C4" s="159" t="s">
        <v>28</v>
      </c>
      <c r="D4" s="160"/>
    </row>
    <row r="5" spans="1:38" ht="14.4" thickBot="1" x14ac:dyDescent="0.3">
      <c r="A5" s="130" t="s">
        <v>58</v>
      </c>
      <c r="B5" s="207">
        <v>1</v>
      </c>
      <c r="C5" s="162" t="s">
        <v>59</v>
      </c>
      <c r="D5" s="160"/>
    </row>
    <row r="6" spans="1:38" ht="14.4" thickBot="1" x14ac:dyDescent="0.3">
      <c r="A6" s="201"/>
    </row>
    <row r="7" spans="1:38" x14ac:dyDescent="0.25">
      <c r="A7" s="141" t="s">
        <v>66</v>
      </c>
      <c r="B7" s="142"/>
    </row>
    <row r="8" spans="1:38" ht="14.4" thickBot="1" x14ac:dyDescent="0.3">
      <c r="A8" s="127" t="s">
        <v>137</v>
      </c>
      <c r="B8" s="90">
        <f>$B$4*$B$14</f>
        <v>0</v>
      </c>
    </row>
    <row r="9" spans="1:38" x14ac:dyDescent="0.25">
      <c r="A9" s="128" t="s">
        <v>138</v>
      </c>
      <c r="B9" s="229" t="e">
        <f>$B$8/$H$26</f>
        <v>#DIV/0!</v>
      </c>
    </row>
    <row r="10" spans="1:38" ht="14.4" thickBot="1" x14ac:dyDescent="0.3">
      <c r="A10" s="130" t="s">
        <v>155</v>
      </c>
      <c r="B10" s="131">
        <f>$H$52+$H$53</f>
        <v>0</v>
      </c>
    </row>
    <row r="11" spans="1:38" x14ac:dyDescent="0.25">
      <c r="A11" s="141" t="s">
        <v>94</v>
      </c>
      <c r="B11" s="202"/>
    </row>
    <row r="12" spans="1:38" ht="18.75" customHeight="1" x14ac:dyDescent="0.25">
      <c r="A12" s="132" t="s">
        <v>91</v>
      </c>
      <c r="B12" s="89">
        <f>$F$26-$F$43</f>
        <v>0</v>
      </c>
    </row>
    <row r="13" spans="1:38" x14ac:dyDescent="0.25">
      <c r="A13" s="132" t="s">
        <v>92</v>
      </c>
      <c r="B13" s="89">
        <f>$F$26-$F$43-$F$48</f>
        <v>0</v>
      </c>
    </row>
    <row r="14" spans="1:38" ht="14.4" thickBot="1" x14ac:dyDescent="0.3">
      <c r="A14" s="127" t="s">
        <v>93</v>
      </c>
      <c r="B14" s="90">
        <f>$F$26-$F$43-$F48-$F$55</f>
        <v>0</v>
      </c>
    </row>
    <row r="15" spans="1:38" s="148" customFormat="1" ht="12.15" customHeight="1" x14ac:dyDescent="0.25">
      <c r="A15" s="125"/>
      <c r="B15" s="123"/>
      <c r="C15" s="143"/>
      <c r="D15" s="143"/>
      <c r="E15" s="144"/>
      <c r="F15" s="144"/>
      <c r="G15" s="146"/>
      <c r="H15" s="145"/>
      <c r="I15" s="146"/>
      <c r="J15" s="146"/>
      <c r="K15" s="146"/>
      <c r="L15" s="147"/>
      <c r="N15" s="145"/>
      <c r="O15" s="145"/>
      <c r="P15" s="145"/>
      <c r="Q15" s="145"/>
      <c r="R15" s="145"/>
      <c r="S15" s="145"/>
      <c r="T15" s="145"/>
      <c r="U15" s="145"/>
      <c r="V15" s="145"/>
      <c r="W15" s="145"/>
      <c r="Z15" s="149"/>
      <c r="AA15" s="149"/>
      <c r="AB15" s="149"/>
      <c r="AC15" s="149"/>
      <c r="AD15" s="150"/>
      <c r="AE15" s="150"/>
      <c r="AF15" s="150"/>
      <c r="AG15" s="150"/>
      <c r="AH15" s="150"/>
      <c r="AI15" s="150"/>
      <c r="AJ15" s="150"/>
      <c r="AK15" s="150"/>
      <c r="AL15" s="150"/>
    </row>
    <row r="16" spans="1:38" s="148" customFormat="1" ht="12.15" customHeight="1" x14ac:dyDescent="0.25">
      <c r="A16" s="151"/>
      <c r="B16" s="152"/>
      <c r="C16" s="153"/>
      <c r="D16" s="153"/>
      <c r="E16" s="153"/>
      <c r="F16" s="153"/>
      <c r="G16" s="146"/>
      <c r="H16" s="145"/>
      <c r="I16" s="146"/>
      <c r="J16" s="146"/>
      <c r="K16" s="146"/>
      <c r="L16" s="147"/>
      <c r="N16" s="145"/>
      <c r="O16" s="145"/>
      <c r="P16" s="145"/>
      <c r="Q16" s="145"/>
      <c r="R16" s="145"/>
      <c r="S16" s="145"/>
      <c r="T16" s="145"/>
      <c r="U16" s="145"/>
      <c r="V16" s="145"/>
      <c r="W16" s="145"/>
      <c r="Z16" s="149"/>
      <c r="AA16" s="149"/>
      <c r="AB16" s="149"/>
      <c r="AC16" s="149"/>
      <c r="AD16" s="150"/>
      <c r="AE16" s="150"/>
      <c r="AF16" s="150"/>
      <c r="AG16" s="150"/>
      <c r="AH16" s="150"/>
      <c r="AI16" s="150"/>
      <c r="AJ16" s="150"/>
      <c r="AK16" s="150"/>
      <c r="AL16" s="150"/>
    </row>
    <row r="17" spans="1:53" s="148" customFormat="1" ht="27.6" x14ac:dyDescent="0.25">
      <c r="A17" s="166" t="s">
        <v>103</v>
      </c>
      <c r="B17" s="167" t="s">
        <v>6</v>
      </c>
      <c r="C17" s="168" t="s">
        <v>113</v>
      </c>
      <c r="D17" s="168" t="s">
        <v>20</v>
      </c>
      <c r="E17" s="168" t="s">
        <v>63</v>
      </c>
      <c r="F17" s="168" t="s">
        <v>88</v>
      </c>
      <c r="G17" s="169" t="s">
        <v>89</v>
      </c>
      <c r="H17" s="169" t="s">
        <v>87</v>
      </c>
      <c r="I17" s="146"/>
      <c r="J17" s="146"/>
      <c r="K17" s="146"/>
      <c r="L17" s="147"/>
      <c r="N17" s="145"/>
      <c r="O17" s="145"/>
      <c r="P17" s="145"/>
      <c r="Q17" s="145"/>
      <c r="R17" s="145"/>
      <c r="S17" s="145"/>
      <c r="T17" s="145"/>
      <c r="U17" s="145"/>
      <c r="V17" s="145"/>
      <c r="W17" s="145"/>
      <c r="Z17" s="149"/>
      <c r="AA17" s="149"/>
      <c r="AB17" s="149"/>
      <c r="AC17" s="149"/>
      <c r="AD17" s="150"/>
      <c r="AE17" s="150"/>
      <c r="AF17" s="150"/>
      <c r="AG17" s="150"/>
      <c r="AH17" s="150"/>
      <c r="AI17" s="150"/>
      <c r="AJ17" s="150"/>
      <c r="AK17" s="150"/>
      <c r="AL17" s="150"/>
    </row>
    <row r="18" spans="1:53" s="148" customFormat="1" x14ac:dyDescent="0.25">
      <c r="A18" s="67" t="s">
        <v>36</v>
      </c>
      <c r="B18" s="45">
        <v>1</v>
      </c>
      <c r="C18" s="209">
        <f>B5</f>
        <v>1</v>
      </c>
      <c r="D18" s="123" t="s">
        <v>37</v>
      </c>
      <c r="E18" s="55">
        <v>0</v>
      </c>
      <c r="F18" s="133">
        <f t="shared" ref="F18:F24" si="0">C18*E18</f>
        <v>0</v>
      </c>
      <c r="G18" s="139">
        <f t="shared" ref="G18:G24" si="1">F18/$B$5</f>
        <v>0</v>
      </c>
      <c r="H18" s="133">
        <f>F18*$B$4</f>
        <v>0</v>
      </c>
      <c r="I18" s="146"/>
      <c r="J18" s="146"/>
      <c r="K18" s="146"/>
      <c r="L18" s="147"/>
      <c r="N18" s="145"/>
      <c r="O18" s="170"/>
      <c r="P18" s="145"/>
      <c r="Q18" s="145"/>
      <c r="R18" s="145"/>
      <c r="S18" s="145"/>
      <c r="T18" s="145"/>
      <c r="U18" s="145"/>
      <c r="V18" s="145"/>
      <c r="W18" s="145"/>
      <c r="Z18" s="149"/>
      <c r="AA18" s="149"/>
      <c r="AB18" s="149"/>
      <c r="AC18" s="149"/>
      <c r="AD18" s="150"/>
      <c r="AE18" s="150"/>
      <c r="AF18" s="150"/>
      <c r="AG18" s="150"/>
      <c r="AH18" s="150"/>
      <c r="AI18" s="150"/>
      <c r="AJ18" s="150"/>
      <c r="AK18" s="150"/>
      <c r="AL18" s="150"/>
    </row>
    <row r="19" spans="1:53" s="148" customFormat="1" x14ac:dyDescent="0.25">
      <c r="A19" s="67" t="s">
        <v>65</v>
      </c>
      <c r="B19" s="45">
        <v>2</v>
      </c>
      <c r="C19" s="41">
        <v>0</v>
      </c>
      <c r="D19" s="208" t="s">
        <v>37</v>
      </c>
      <c r="E19" s="55">
        <v>0</v>
      </c>
      <c r="F19" s="133">
        <f t="shared" si="0"/>
        <v>0</v>
      </c>
      <c r="G19" s="139">
        <f t="shared" si="1"/>
        <v>0</v>
      </c>
      <c r="H19" s="133">
        <f t="shared" ref="H19:H24" si="2">F19*$B$4</f>
        <v>0</v>
      </c>
      <c r="I19" s="146"/>
      <c r="J19" s="146"/>
      <c r="K19" s="146"/>
      <c r="L19" s="147"/>
      <c r="N19" s="145"/>
      <c r="O19" s="170"/>
      <c r="P19" s="145"/>
      <c r="Q19" s="145"/>
      <c r="R19" s="145"/>
      <c r="S19" s="145"/>
      <c r="T19" s="145"/>
      <c r="U19" s="145"/>
      <c r="V19" s="145"/>
      <c r="W19" s="190"/>
      <c r="Z19" s="149"/>
      <c r="AA19" s="149"/>
      <c r="AB19" s="149"/>
      <c r="AC19" s="149"/>
      <c r="AD19" s="150"/>
      <c r="AE19" s="150"/>
      <c r="AF19" s="150"/>
      <c r="AG19" s="150"/>
      <c r="AH19" s="150"/>
      <c r="AI19" s="150"/>
      <c r="AJ19" s="150"/>
      <c r="AK19" s="150"/>
      <c r="AL19" s="150"/>
    </row>
    <row r="20" spans="1:53" s="148" customFormat="1" x14ac:dyDescent="0.25">
      <c r="A20" s="67" t="s">
        <v>38</v>
      </c>
      <c r="B20" s="45">
        <v>3</v>
      </c>
      <c r="C20" s="41">
        <v>0</v>
      </c>
      <c r="D20" s="44" t="s">
        <v>37</v>
      </c>
      <c r="E20" s="55">
        <v>0</v>
      </c>
      <c r="F20" s="133">
        <f t="shared" si="0"/>
        <v>0</v>
      </c>
      <c r="G20" s="139">
        <f t="shared" si="1"/>
        <v>0</v>
      </c>
      <c r="H20" s="133">
        <f t="shared" si="2"/>
        <v>0</v>
      </c>
      <c r="I20" s="146"/>
      <c r="J20" s="146"/>
      <c r="K20" s="146"/>
      <c r="L20" s="147"/>
      <c r="N20" s="145"/>
      <c r="O20" s="170"/>
      <c r="P20" s="145"/>
      <c r="Q20" s="145"/>
      <c r="R20" s="145"/>
      <c r="S20" s="145"/>
      <c r="T20" s="145"/>
      <c r="U20" s="145"/>
      <c r="V20" s="145"/>
      <c r="W20" s="190"/>
      <c r="Z20" s="149"/>
      <c r="AA20" s="149"/>
      <c r="AB20" s="149"/>
      <c r="AC20" s="149"/>
      <c r="AD20" s="150"/>
      <c r="AE20" s="150"/>
      <c r="AF20" s="150"/>
      <c r="AG20" s="150"/>
      <c r="AH20" s="150"/>
      <c r="AI20" s="150"/>
      <c r="AJ20" s="150"/>
      <c r="AK20" s="150"/>
      <c r="AL20" s="150"/>
    </row>
    <row r="21" spans="1:53" s="148" customFormat="1" x14ac:dyDescent="0.25">
      <c r="A21" s="67" t="s">
        <v>39</v>
      </c>
      <c r="B21" s="45" t="s">
        <v>207</v>
      </c>
      <c r="C21" s="40">
        <v>0</v>
      </c>
      <c r="D21" s="44" t="s">
        <v>35</v>
      </c>
      <c r="E21" s="55">
        <v>0</v>
      </c>
      <c r="F21" s="133">
        <f t="shared" si="0"/>
        <v>0</v>
      </c>
      <c r="G21" s="139">
        <f t="shared" si="1"/>
        <v>0</v>
      </c>
      <c r="H21" s="133">
        <f t="shared" si="2"/>
        <v>0</v>
      </c>
      <c r="I21" s="146"/>
      <c r="J21" s="146"/>
      <c r="K21" s="146"/>
      <c r="L21" s="147"/>
      <c r="N21" s="145"/>
      <c r="O21" s="170"/>
      <c r="P21" s="145"/>
      <c r="Q21" s="145"/>
      <c r="R21" s="145"/>
      <c r="S21" s="145"/>
      <c r="T21" s="145"/>
      <c r="U21" s="145"/>
      <c r="V21" s="145"/>
      <c r="W21" s="145"/>
      <c r="Z21" s="149"/>
      <c r="AA21" s="149"/>
      <c r="AB21" s="149"/>
      <c r="AC21" s="149"/>
      <c r="AD21" s="150"/>
      <c r="AE21" s="150"/>
      <c r="AF21" s="150"/>
      <c r="AG21" s="150"/>
      <c r="AH21" s="150"/>
      <c r="AI21" s="150"/>
      <c r="AJ21" s="150"/>
      <c r="AK21" s="150"/>
      <c r="AL21" s="150"/>
    </row>
    <row r="22" spans="1:53" s="148" customFormat="1" ht="14.25" customHeight="1" x14ac:dyDescent="0.25">
      <c r="A22" s="67" t="s">
        <v>40</v>
      </c>
      <c r="B22" s="45"/>
      <c r="C22" s="40">
        <v>1</v>
      </c>
      <c r="D22" s="44" t="s">
        <v>35</v>
      </c>
      <c r="E22" s="55">
        <v>0</v>
      </c>
      <c r="F22" s="133">
        <f t="shared" si="0"/>
        <v>0</v>
      </c>
      <c r="G22" s="139">
        <f t="shared" si="1"/>
        <v>0</v>
      </c>
      <c r="H22" s="133">
        <f t="shared" si="2"/>
        <v>0</v>
      </c>
      <c r="I22" s="146"/>
      <c r="J22" s="146"/>
      <c r="K22" s="146"/>
      <c r="L22" s="147"/>
      <c r="N22" s="145"/>
      <c r="O22" s="170"/>
      <c r="P22" s="145"/>
      <c r="Q22" s="145"/>
      <c r="R22" s="145"/>
      <c r="S22" s="145"/>
      <c r="T22" s="145"/>
      <c r="U22" s="145"/>
      <c r="V22" s="145"/>
      <c r="W22" s="145"/>
      <c r="Z22" s="149"/>
      <c r="AA22" s="149"/>
      <c r="AB22" s="149"/>
      <c r="AC22" s="149"/>
      <c r="AD22" s="150"/>
      <c r="AE22" s="150"/>
      <c r="AF22" s="150"/>
      <c r="AG22" s="150"/>
      <c r="AH22" s="150"/>
      <c r="AI22" s="150"/>
      <c r="AJ22" s="150"/>
      <c r="AK22" s="150"/>
      <c r="AL22" s="150"/>
    </row>
    <row r="23" spans="1:53" s="148" customFormat="1" ht="27.6" x14ac:dyDescent="0.25">
      <c r="A23" s="67" t="s">
        <v>120</v>
      </c>
      <c r="B23" s="45"/>
      <c r="C23" s="40">
        <v>0</v>
      </c>
      <c r="D23" s="44" t="s">
        <v>35</v>
      </c>
      <c r="E23" s="55">
        <v>0</v>
      </c>
      <c r="F23" s="133">
        <f t="shared" si="0"/>
        <v>0</v>
      </c>
      <c r="G23" s="139">
        <f t="shared" si="1"/>
        <v>0</v>
      </c>
      <c r="H23" s="133">
        <f t="shared" si="2"/>
        <v>0</v>
      </c>
      <c r="I23" s="146"/>
      <c r="J23" s="146"/>
      <c r="K23" s="146"/>
      <c r="L23" s="147"/>
      <c r="N23" s="145"/>
      <c r="O23" s="170"/>
      <c r="P23" s="145"/>
      <c r="Q23" s="145"/>
      <c r="R23" s="145"/>
      <c r="S23" s="145"/>
      <c r="T23" s="145"/>
      <c r="U23" s="145"/>
      <c r="V23" s="145"/>
      <c r="W23" s="145"/>
      <c r="Z23" s="149"/>
      <c r="AA23" s="149"/>
      <c r="AB23" s="149"/>
      <c r="AC23" s="149"/>
      <c r="AD23" s="150"/>
      <c r="AE23" s="150"/>
      <c r="AF23" s="150"/>
      <c r="AG23" s="150"/>
      <c r="AH23" s="150"/>
      <c r="AI23" s="150"/>
      <c r="AJ23" s="150"/>
      <c r="AK23" s="150"/>
      <c r="AL23" s="150"/>
    </row>
    <row r="24" spans="1:53" s="148" customFormat="1" x14ac:dyDescent="0.25">
      <c r="A24" s="67" t="s">
        <v>71</v>
      </c>
      <c r="B24" s="45"/>
      <c r="C24" s="40">
        <v>0</v>
      </c>
      <c r="D24" s="44" t="s">
        <v>159</v>
      </c>
      <c r="E24" s="55">
        <v>0</v>
      </c>
      <c r="F24" s="133">
        <f t="shared" si="0"/>
        <v>0</v>
      </c>
      <c r="G24" s="139">
        <f t="shared" si="1"/>
        <v>0</v>
      </c>
      <c r="H24" s="133">
        <f t="shared" si="2"/>
        <v>0</v>
      </c>
      <c r="I24" s="146"/>
      <c r="J24" s="146"/>
      <c r="K24" s="146"/>
      <c r="L24" s="147"/>
      <c r="N24" s="145"/>
      <c r="O24" s="170"/>
      <c r="P24" s="145"/>
      <c r="Q24" s="145"/>
      <c r="R24" s="145"/>
      <c r="S24" s="145"/>
      <c r="T24" s="145"/>
      <c r="U24" s="145"/>
      <c r="V24" s="145"/>
      <c r="W24" s="145"/>
      <c r="Z24" s="149"/>
      <c r="AA24" s="149"/>
      <c r="AB24" s="149"/>
      <c r="AC24" s="149"/>
      <c r="AD24" s="150"/>
      <c r="AE24" s="150"/>
      <c r="AF24" s="150"/>
      <c r="AG24" s="150"/>
      <c r="AH24" s="150"/>
      <c r="AI24" s="150"/>
      <c r="AJ24" s="150"/>
      <c r="AK24" s="150"/>
      <c r="AL24" s="150"/>
      <c r="BA24" s="145"/>
    </row>
    <row r="25" spans="1:53" s="148" customFormat="1" x14ac:dyDescent="0.25">
      <c r="A25" s="67"/>
      <c r="B25" s="45"/>
      <c r="C25" s="40"/>
      <c r="D25" s="44"/>
      <c r="E25" s="55"/>
      <c r="F25" s="133"/>
      <c r="G25" s="139"/>
      <c r="H25" s="133"/>
      <c r="I25" s="146"/>
      <c r="J25" s="146"/>
      <c r="K25" s="146"/>
      <c r="L25" s="147"/>
      <c r="N25" s="145"/>
      <c r="O25" s="170"/>
      <c r="P25" s="145"/>
      <c r="Q25" s="145"/>
      <c r="R25" s="145"/>
      <c r="S25" s="145"/>
      <c r="T25" s="145"/>
      <c r="U25" s="145"/>
      <c r="V25" s="145"/>
      <c r="W25" s="145"/>
      <c r="Z25" s="149"/>
      <c r="AA25" s="149"/>
      <c r="AB25" s="149"/>
      <c r="AC25" s="149"/>
      <c r="AD25" s="150"/>
      <c r="AE25" s="150"/>
      <c r="AF25" s="150"/>
      <c r="AG25" s="150"/>
      <c r="AH25" s="150"/>
      <c r="AI25" s="150"/>
      <c r="AJ25" s="150"/>
      <c r="AK25" s="150"/>
      <c r="AL25" s="150"/>
      <c r="BA25" s="145"/>
    </row>
    <row r="26" spans="1:53" s="148" customFormat="1" x14ac:dyDescent="0.25">
      <c r="A26" s="171" t="s">
        <v>90</v>
      </c>
      <c r="B26" s="172"/>
      <c r="C26" s="173"/>
      <c r="D26" s="174"/>
      <c r="E26" s="175"/>
      <c r="F26" s="56">
        <f>SUM(F18:F25)</f>
        <v>0</v>
      </c>
      <c r="G26" s="56">
        <f>SUM(G18:G25)</f>
        <v>0</v>
      </c>
      <c r="H26" s="56">
        <f>SUM(H18:H25)</f>
        <v>0</v>
      </c>
      <c r="I26" s="146"/>
      <c r="J26" s="146"/>
      <c r="K26" s="146"/>
      <c r="L26" s="147"/>
      <c r="N26" s="145"/>
      <c r="O26" s="170"/>
      <c r="P26" s="145"/>
      <c r="Q26" s="145"/>
      <c r="R26" s="145"/>
      <c r="S26" s="145"/>
      <c r="T26" s="145"/>
      <c r="U26" s="145"/>
      <c r="V26" s="145"/>
      <c r="W26" s="145"/>
      <c r="Z26" s="149"/>
      <c r="AA26" s="149"/>
      <c r="AB26" s="149"/>
      <c r="AC26" s="149"/>
      <c r="AD26" s="150"/>
      <c r="AE26" s="150"/>
      <c r="AF26" s="150"/>
      <c r="AG26" s="150"/>
      <c r="AH26" s="150"/>
      <c r="AI26" s="150"/>
      <c r="AJ26" s="150"/>
      <c r="AK26" s="150"/>
      <c r="AL26" s="150"/>
      <c r="BA26" s="145"/>
    </row>
    <row r="27" spans="1:53" s="148" customFormat="1" x14ac:dyDescent="0.25">
      <c r="A27" s="176"/>
      <c r="B27" s="122"/>
      <c r="C27" s="177"/>
      <c r="D27" s="152"/>
      <c r="E27" s="178"/>
      <c r="F27" s="179"/>
      <c r="G27" s="204"/>
      <c r="H27" s="145"/>
      <c r="I27" s="126"/>
      <c r="J27" s="147"/>
      <c r="K27" s="145"/>
      <c r="L27" s="145"/>
      <c r="M27" s="170"/>
      <c r="N27" s="145"/>
      <c r="O27" s="145"/>
      <c r="P27" s="145"/>
      <c r="Q27" s="145"/>
      <c r="R27" s="145"/>
      <c r="S27" s="145"/>
      <c r="T27" s="145"/>
      <c r="U27" s="145"/>
      <c r="X27" s="149"/>
      <c r="Y27" s="149"/>
      <c r="Z27" s="149"/>
      <c r="AA27" s="149"/>
      <c r="AB27" s="150"/>
      <c r="AC27" s="150"/>
      <c r="AD27" s="150"/>
      <c r="AE27" s="150"/>
      <c r="AF27" s="150"/>
      <c r="AG27" s="150"/>
      <c r="AH27" s="150"/>
      <c r="AI27" s="150"/>
      <c r="AJ27" s="150"/>
      <c r="AY27" s="145"/>
    </row>
    <row r="28" spans="1:53" s="148" customFormat="1" ht="27.6" x14ac:dyDescent="0.25">
      <c r="A28" s="166" t="s">
        <v>104</v>
      </c>
      <c r="B28" s="167" t="s">
        <v>6</v>
      </c>
      <c r="C28" s="168" t="s">
        <v>113</v>
      </c>
      <c r="D28" s="168" t="s">
        <v>20</v>
      </c>
      <c r="E28" s="168" t="s">
        <v>116</v>
      </c>
      <c r="F28" s="168" t="s">
        <v>88</v>
      </c>
      <c r="G28" s="169" t="s">
        <v>89</v>
      </c>
      <c r="H28" s="169" t="s">
        <v>87</v>
      </c>
      <c r="I28" s="126"/>
      <c r="J28" s="147"/>
      <c r="K28" s="145"/>
      <c r="L28" s="145"/>
      <c r="M28" s="170"/>
      <c r="N28" s="145"/>
      <c r="O28" s="145"/>
      <c r="P28" s="145"/>
      <c r="Q28" s="145"/>
      <c r="R28" s="145"/>
      <c r="S28" s="145"/>
      <c r="T28" s="145"/>
      <c r="U28" s="145"/>
      <c r="X28" s="149"/>
      <c r="Y28" s="149"/>
      <c r="Z28" s="149"/>
      <c r="AA28" s="149"/>
      <c r="AB28" s="150"/>
      <c r="AC28" s="150"/>
      <c r="AD28" s="150"/>
      <c r="AE28" s="150"/>
      <c r="AF28" s="150"/>
      <c r="AG28" s="150"/>
      <c r="AH28" s="150"/>
      <c r="AI28" s="150"/>
      <c r="AJ28" s="150"/>
      <c r="AY28" s="145"/>
    </row>
    <row r="29" spans="1:53" s="148" customFormat="1" x14ac:dyDescent="0.25">
      <c r="A29" s="67" t="s">
        <v>42</v>
      </c>
      <c r="B29" s="45"/>
      <c r="C29" s="228">
        <f>+C19+C20</f>
        <v>0</v>
      </c>
      <c r="D29" s="37" t="s">
        <v>37</v>
      </c>
      <c r="E29" s="55">
        <v>0</v>
      </c>
      <c r="F29" s="133">
        <f>C29*E29</f>
        <v>0</v>
      </c>
      <c r="G29" s="139">
        <f t="shared" ref="G29:G54" si="3">F29/$B$5</f>
        <v>0</v>
      </c>
      <c r="H29" s="133">
        <f t="shared" ref="H29:H42" si="4">F29*$B$4</f>
        <v>0</v>
      </c>
      <c r="I29" s="170"/>
      <c r="J29" s="147"/>
      <c r="K29" s="145"/>
      <c r="L29" s="145"/>
      <c r="M29" s="170"/>
      <c r="N29" s="145"/>
      <c r="O29" s="145"/>
      <c r="P29" s="145"/>
      <c r="Q29" s="145"/>
      <c r="R29" s="145"/>
      <c r="S29" s="145"/>
      <c r="T29" s="145"/>
      <c r="U29" s="145"/>
      <c r="X29" s="149"/>
      <c r="Y29" s="149"/>
      <c r="Z29" s="149"/>
      <c r="AA29" s="149"/>
      <c r="AB29" s="150"/>
      <c r="AC29" s="150"/>
      <c r="AD29" s="150"/>
      <c r="AE29" s="150"/>
      <c r="AF29" s="150"/>
      <c r="AG29" s="150"/>
      <c r="AH29" s="150"/>
      <c r="AI29" s="150"/>
      <c r="AJ29" s="150"/>
    </row>
    <row r="30" spans="1:53" s="148" customFormat="1" x14ac:dyDescent="0.25">
      <c r="A30" s="67" t="s">
        <v>43</v>
      </c>
      <c r="B30" s="45"/>
      <c r="C30" s="42">
        <v>0</v>
      </c>
      <c r="D30" s="37" t="s">
        <v>44</v>
      </c>
      <c r="E30" s="55">
        <v>0</v>
      </c>
      <c r="F30" s="133">
        <f t="shared" ref="F30:F42" si="5">C30*E30</f>
        <v>0</v>
      </c>
      <c r="G30" s="139">
        <f t="shared" si="3"/>
        <v>0</v>
      </c>
      <c r="H30" s="133">
        <f t="shared" si="4"/>
        <v>0</v>
      </c>
      <c r="I30" s="170"/>
      <c r="J30" s="147"/>
      <c r="K30" s="145"/>
      <c r="L30" s="145"/>
      <c r="M30" s="170"/>
      <c r="N30" s="145"/>
      <c r="O30" s="145"/>
      <c r="P30" s="145"/>
      <c r="Q30" s="145"/>
      <c r="R30" s="145"/>
      <c r="S30" s="145"/>
      <c r="T30" s="145"/>
      <c r="U30" s="145"/>
      <c r="X30" s="149"/>
      <c r="Y30" s="149"/>
      <c r="Z30" s="149"/>
      <c r="AA30" s="149"/>
      <c r="AB30" s="150"/>
      <c r="AC30" s="150"/>
      <c r="AD30" s="150"/>
      <c r="AE30" s="150"/>
      <c r="AF30" s="150"/>
      <c r="AG30" s="150"/>
      <c r="AH30" s="150"/>
      <c r="AI30" s="150"/>
      <c r="AJ30" s="150"/>
    </row>
    <row r="31" spans="1:53" s="148" customFormat="1" x14ac:dyDescent="0.25">
      <c r="A31" s="67" t="s">
        <v>109</v>
      </c>
      <c r="B31" s="45"/>
      <c r="C31" s="42">
        <v>0</v>
      </c>
      <c r="D31" s="37" t="s">
        <v>44</v>
      </c>
      <c r="E31" s="55">
        <v>0</v>
      </c>
      <c r="F31" s="133">
        <f t="shared" si="5"/>
        <v>0</v>
      </c>
      <c r="G31" s="139">
        <f t="shared" si="3"/>
        <v>0</v>
      </c>
      <c r="H31" s="133">
        <f t="shared" si="4"/>
        <v>0</v>
      </c>
      <c r="I31" s="170"/>
      <c r="J31" s="147"/>
      <c r="K31" s="145"/>
      <c r="L31" s="145"/>
      <c r="M31" s="170"/>
      <c r="N31" s="145"/>
      <c r="O31" s="145"/>
      <c r="P31" s="145"/>
      <c r="Q31" s="145"/>
      <c r="R31" s="145"/>
      <c r="S31" s="145"/>
      <c r="T31" s="145"/>
      <c r="U31" s="145"/>
      <c r="X31" s="149"/>
      <c r="Y31" s="149"/>
      <c r="Z31" s="149"/>
      <c r="AA31" s="149"/>
      <c r="AB31" s="150"/>
      <c r="AC31" s="150"/>
      <c r="AD31" s="150"/>
      <c r="AE31" s="150"/>
      <c r="AF31" s="150"/>
      <c r="AG31" s="150"/>
      <c r="AH31" s="150"/>
      <c r="AI31" s="150"/>
      <c r="AJ31" s="150"/>
    </row>
    <row r="32" spans="1:53" s="148" customFormat="1" x14ac:dyDescent="0.25">
      <c r="A32" s="67" t="s">
        <v>45</v>
      </c>
      <c r="B32" s="45"/>
      <c r="C32" s="42">
        <v>0</v>
      </c>
      <c r="D32" s="37" t="s">
        <v>44</v>
      </c>
      <c r="E32" s="55">
        <v>0</v>
      </c>
      <c r="F32" s="133">
        <f t="shared" si="5"/>
        <v>0</v>
      </c>
      <c r="G32" s="139">
        <f t="shared" si="3"/>
        <v>0</v>
      </c>
      <c r="H32" s="133">
        <f t="shared" si="4"/>
        <v>0</v>
      </c>
      <c r="I32" s="170"/>
      <c r="J32" s="147"/>
      <c r="K32" s="145"/>
      <c r="L32" s="145"/>
      <c r="M32" s="170"/>
      <c r="N32" s="145"/>
      <c r="O32" s="145"/>
      <c r="P32" s="145"/>
      <c r="Q32" s="145"/>
      <c r="R32" s="145"/>
      <c r="S32" s="145"/>
      <c r="T32" s="145"/>
      <c r="U32" s="145"/>
      <c r="X32" s="149"/>
      <c r="Y32" s="149"/>
      <c r="Z32" s="149"/>
      <c r="AA32" s="149"/>
      <c r="AB32" s="150"/>
      <c r="AC32" s="150"/>
      <c r="AD32" s="150"/>
      <c r="AE32" s="150"/>
      <c r="AF32" s="150"/>
      <c r="AG32" s="150"/>
      <c r="AH32" s="150"/>
      <c r="AI32" s="150"/>
      <c r="AJ32" s="150"/>
    </row>
    <row r="33" spans="1:36" s="148" customFormat="1" x14ac:dyDescent="0.25">
      <c r="A33" s="67" t="s">
        <v>161</v>
      </c>
      <c r="B33" s="45"/>
      <c r="C33" s="42">
        <v>0</v>
      </c>
      <c r="D33" s="37" t="s">
        <v>44</v>
      </c>
      <c r="E33" s="55">
        <v>0</v>
      </c>
      <c r="F33" s="133">
        <f>C33*E33</f>
        <v>0</v>
      </c>
      <c r="G33" s="139">
        <f>F33/$B$5</f>
        <v>0</v>
      </c>
      <c r="H33" s="133">
        <f>F33*$B$4</f>
        <v>0</v>
      </c>
      <c r="I33" s="170"/>
      <c r="J33" s="147"/>
      <c r="K33" s="145"/>
      <c r="L33" s="145"/>
      <c r="M33" s="170"/>
      <c r="N33" s="145"/>
      <c r="O33" s="145"/>
      <c r="P33" s="145"/>
      <c r="Q33" s="145"/>
      <c r="R33" s="145"/>
      <c r="S33" s="145"/>
      <c r="T33" s="145"/>
      <c r="U33" s="145"/>
      <c r="X33" s="149"/>
      <c r="Y33" s="149"/>
      <c r="Z33" s="149"/>
      <c r="AA33" s="149"/>
      <c r="AB33" s="150"/>
      <c r="AC33" s="150"/>
      <c r="AD33" s="150"/>
      <c r="AE33" s="150"/>
      <c r="AF33" s="150"/>
      <c r="AG33" s="150"/>
      <c r="AH33" s="150"/>
      <c r="AI33" s="150"/>
      <c r="AJ33" s="150"/>
    </row>
    <row r="34" spans="1:36" s="148" customFormat="1" x14ac:dyDescent="0.25">
      <c r="A34" s="67" t="s">
        <v>46</v>
      </c>
      <c r="B34" s="45"/>
      <c r="C34" s="42">
        <v>0</v>
      </c>
      <c r="D34" s="37" t="s">
        <v>44</v>
      </c>
      <c r="E34" s="55">
        <v>0</v>
      </c>
      <c r="F34" s="133">
        <f t="shared" si="5"/>
        <v>0</v>
      </c>
      <c r="G34" s="139">
        <f t="shared" si="3"/>
        <v>0</v>
      </c>
      <c r="H34" s="133">
        <f t="shared" si="4"/>
        <v>0</v>
      </c>
      <c r="I34" s="170"/>
      <c r="J34" s="147"/>
      <c r="K34" s="145"/>
      <c r="L34" s="145"/>
      <c r="M34" s="170"/>
      <c r="N34" s="145"/>
      <c r="O34" s="145"/>
      <c r="P34" s="145"/>
      <c r="Q34" s="145"/>
      <c r="R34" s="145"/>
      <c r="S34" s="145"/>
      <c r="T34" s="145"/>
      <c r="U34" s="145"/>
      <c r="X34" s="149"/>
      <c r="Y34" s="149"/>
      <c r="Z34" s="149"/>
      <c r="AA34" s="149"/>
      <c r="AB34" s="150"/>
      <c r="AC34" s="150"/>
      <c r="AD34" s="150"/>
      <c r="AE34" s="150"/>
      <c r="AF34" s="150"/>
      <c r="AG34" s="150"/>
      <c r="AH34" s="150"/>
      <c r="AI34" s="150"/>
      <c r="AJ34" s="150"/>
    </row>
    <row r="35" spans="1:36" s="148" customFormat="1" x14ac:dyDescent="0.25">
      <c r="A35" s="67" t="s">
        <v>47</v>
      </c>
      <c r="B35" s="45"/>
      <c r="C35" s="42">
        <v>0</v>
      </c>
      <c r="D35" s="37" t="s">
        <v>44</v>
      </c>
      <c r="E35" s="55">
        <v>0</v>
      </c>
      <c r="F35" s="133">
        <f t="shared" si="5"/>
        <v>0</v>
      </c>
      <c r="G35" s="139">
        <f t="shared" si="3"/>
        <v>0</v>
      </c>
      <c r="H35" s="133">
        <f t="shared" si="4"/>
        <v>0</v>
      </c>
      <c r="I35" s="170"/>
      <c r="J35" s="147"/>
      <c r="K35" s="145"/>
      <c r="L35" s="145"/>
      <c r="M35" s="170"/>
      <c r="N35" s="145"/>
      <c r="O35" s="145"/>
      <c r="P35" s="145"/>
      <c r="Q35" s="145"/>
      <c r="R35" s="145"/>
      <c r="S35" s="145"/>
      <c r="T35" s="145"/>
      <c r="U35" s="145"/>
      <c r="X35" s="149"/>
      <c r="Y35" s="149"/>
      <c r="Z35" s="149"/>
      <c r="AA35" s="149"/>
      <c r="AB35" s="150"/>
      <c r="AC35" s="150"/>
      <c r="AD35" s="150"/>
      <c r="AE35" s="150"/>
      <c r="AF35" s="150"/>
      <c r="AG35" s="150"/>
      <c r="AH35" s="150"/>
      <c r="AI35" s="150"/>
      <c r="AJ35" s="150"/>
    </row>
    <row r="36" spans="1:36" s="148" customFormat="1" x14ac:dyDescent="0.25">
      <c r="A36" s="67" t="s">
        <v>48</v>
      </c>
      <c r="B36" s="45"/>
      <c r="C36" s="42">
        <v>0</v>
      </c>
      <c r="D36" s="37" t="s">
        <v>49</v>
      </c>
      <c r="E36" s="55">
        <v>0</v>
      </c>
      <c r="F36" s="133">
        <f t="shared" si="5"/>
        <v>0</v>
      </c>
      <c r="G36" s="139">
        <f t="shared" si="3"/>
        <v>0</v>
      </c>
      <c r="H36" s="133">
        <f t="shared" si="4"/>
        <v>0</v>
      </c>
      <c r="I36" s="170"/>
      <c r="J36" s="147"/>
      <c r="K36" s="145"/>
      <c r="L36" s="145"/>
      <c r="M36" s="170"/>
      <c r="N36" s="145"/>
      <c r="O36" s="145"/>
      <c r="P36" s="145"/>
      <c r="Q36" s="145"/>
      <c r="R36" s="145"/>
      <c r="S36" s="145"/>
      <c r="T36" s="145"/>
      <c r="U36" s="145"/>
      <c r="X36" s="149"/>
      <c r="Y36" s="149"/>
      <c r="Z36" s="149"/>
      <c r="AA36" s="149"/>
      <c r="AB36" s="150"/>
      <c r="AC36" s="150"/>
      <c r="AD36" s="150"/>
      <c r="AE36" s="150"/>
      <c r="AF36" s="150"/>
      <c r="AG36" s="150"/>
      <c r="AH36" s="150"/>
      <c r="AI36" s="150"/>
      <c r="AJ36" s="150"/>
    </row>
    <row r="37" spans="1:36" s="148" customFormat="1" ht="27.6" x14ac:dyDescent="0.25">
      <c r="A37" s="67" t="s">
        <v>86</v>
      </c>
      <c r="B37" s="45"/>
      <c r="C37" s="42">
        <v>1</v>
      </c>
      <c r="D37" s="37" t="s">
        <v>35</v>
      </c>
      <c r="E37" s="55">
        <v>0</v>
      </c>
      <c r="F37" s="133">
        <f t="shared" si="5"/>
        <v>0</v>
      </c>
      <c r="G37" s="139">
        <f t="shared" si="3"/>
        <v>0</v>
      </c>
      <c r="H37" s="133">
        <f t="shared" si="4"/>
        <v>0</v>
      </c>
      <c r="I37" s="170"/>
      <c r="J37" s="147"/>
      <c r="K37" s="145"/>
      <c r="L37" s="145"/>
      <c r="M37" s="170"/>
      <c r="N37" s="145"/>
      <c r="O37" s="145"/>
      <c r="P37" s="145"/>
      <c r="Q37" s="145"/>
      <c r="R37" s="145"/>
      <c r="S37" s="145"/>
      <c r="T37" s="145"/>
      <c r="U37" s="145"/>
      <c r="X37" s="149"/>
      <c r="Y37" s="149"/>
      <c r="Z37" s="149"/>
      <c r="AA37" s="149"/>
      <c r="AB37" s="150"/>
      <c r="AC37" s="150"/>
      <c r="AD37" s="150"/>
      <c r="AE37" s="150"/>
      <c r="AF37" s="150"/>
      <c r="AG37" s="150"/>
      <c r="AH37" s="150"/>
      <c r="AI37" s="150"/>
      <c r="AJ37" s="150"/>
    </row>
    <row r="38" spans="1:36" s="148" customFormat="1" x14ac:dyDescent="0.25">
      <c r="A38" s="67" t="s">
        <v>50</v>
      </c>
      <c r="B38" s="45"/>
      <c r="C38" s="42">
        <v>1</v>
      </c>
      <c r="D38" s="37" t="s">
        <v>35</v>
      </c>
      <c r="E38" s="55">
        <v>0</v>
      </c>
      <c r="F38" s="133">
        <f t="shared" si="5"/>
        <v>0</v>
      </c>
      <c r="G38" s="139">
        <f t="shared" si="3"/>
        <v>0</v>
      </c>
      <c r="H38" s="133">
        <f t="shared" si="4"/>
        <v>0</v>
      </c>
      <c r="I38" s="170"/>
      <c r="J38" s="147"/>
      <c r="K38" s="145"/>
      <c r="L38" s="145"/>
      <c r="M38" s="170"/>
      <c r="N38" s="145"/>
      <c r="O38" s="145"/>
      <c r="P38" s="145"/>
      <c r="Q38" s="145"/>
      <c r="R38" s="145"/>
      <c r="S38" s="145"/>
      <c r="T38" s="145"/>
      <c r="U38" s="145"/>
      <c r="X38" s="149"/>
      <c r="Y38" s="149"/>
      <c r="Z38" s="149"/>
      <c r="AA38" s="149"/>
      <c r="AB38" s="150"/>
      <c r="AC38" s="150"/>
      <c r="AD38" s="150"/>
      <c r="AE38" s="150"/>
      <c r="AF38" s="150"/>
      <c r="AG38" s="150"/>
      <c r="AH38" s="150"/>
      <c r="AI38" s="150"/>
      <c r="AJ38" s="150"/>
    </row>
    <row r="39" spans="1:36" s="148" customFormat="1" x14ac:dyDescent="0.25">
      <c r="A39" s="67" t="s">
        <v>51</v>
      </c>
      <c r="B39" s="45"/>
      <c r="C39" s="42">
        <v>1</v>
      </c>
      <c r="D39" s="37" t="s">
        <v>35</v>
      </c>
      <c r="E39" s="55">
        <v>0</v>
      </c>
      <c r="F39" s="133">
        <f t="shared" si="5"/>
        <v>0</v>
      </c>
      <c r="G39" s="139">
        <f t="shared" si="3"/>
        <v>0</v>
      </c>
      <c r="H39" s="133">
        <f t="shared" si="4"/>
        <v>0</v>
      </c>
      <c r="I39" s="170"/>
      <c r="J39" s="147"/>
      <c r="K39" s="145"/>
      <c r="L39" s="145"/>
      <c r="M39" s="170"/>
      <c r="N39" s="145"/>
      <c r="O39" s="145"/>
      <c r="P39" s="145"/>
      <c r="Q39" s="145"/>
      <c r="R39" s="145"/>
      <c r="S39" s="145"/>
      <c r="T39" s="145"/>
      <c r="U39" s="145"/>
      <c r="X39" s="149"/>
      <c r="Y39" s="149"/>
      <c r="Z39" s="149"/>
      <c r="AA39" s="149"/>
      <c r="AB39" s="150"/>
      <c r="AC39" s="150"/>
      <c r="AD39" s="150"/>
      <c r="AE39" s="150"/>
      <c r="AF39" s="150"/>
      <c r="AG39" s="150"/>
      <c r="AH39" s="150"/>
      <c r="AI39" s="150"/>
      <c r="AJ39" s="150"/>
    </row>
    <row r="40" spans="1:36" s="148" customFormat="1" x14ac:dyDescent="0.25">
      <c r="A40" s="67" t="s">
        <v>126</v>
      </c>
      <c r="B40" s="45"/>
      <c r="C40" s="42">
        <v>1</v>
      </c>
      <c r="D40" s="37" t="s">
        <v>35</v>
      </c>
      <c r="E40" s="55">
        <v>0</v>
      </c>
      <c r="F40" s="133">
        <f t="shared" si="5"/>
        <v>0</v>
      </c>
      <c r="G40" s="139">
        <f t="shared" si="3"/>
        <v>0</v>
      </c>
      <c r="H40" s="133">
        <f t="shared" si="4"/>
        <v>0</v>
      </c>
      <c r="I40" s="170"/>
      <c r="J40" s="147"/>
      <c r="K40" s="145"/>
      <c r="L40" s="145"/>
      <c r="M40" s="170"/>
      <c r="N40" s="145"/>
      <c r="O40" s="145"/>
      <c r="P40" s="145"/>
      <c r="Q40" s="145"/>
      <c r="R40" s="145"/>
      <c r="S40" s="145"/>
      <c r="T40" s="145"/>
      <c r="U40" s="145"/>
      <c r="X40" s="149"/>
      <c r="Y40" s="149"/>
      <c r="Z40" s="149"/>
      <c r="AA40" s="149"/>
      <c r="AB40" s="150"/>
      <c r="AC40" s="150"/>
      <c r="AD40" s="150"/>
      <c r="AE40" s="150"/>
      <c r="AF40" s="150"/>
      <c r="AG40" s="150"/>
      <c r="AH40" s="150"/>
      <c r="AI40" s="150"/>
      <c r="AJ40" s="150"/>
    </row>
    <row r="41" spans="1:36" s="148" customFormat="1" x14ac:dyDescent="0.25">
      <c r="A41" s="67"/>
      <c r="B41" s="45"/>
      <c r="C41" s="42"/>
      <c r="D41" s="37"/>
      <c r="E41" s="55"/>
      <c r="F41" s="133">
        <f t="shared" si="5"/>
        <v>0</v>
      </c>
      <c r="G41" s="139">
        <f t="shared" si="3"/>
        <v>0</v>
      </c>
      <c r="H41" s="133">
        <f t="shared" si="4"/>
        <v>0</v>
      </c>
      <c r="I41" s="170"/>
      <c r="J41" s="147"/>
      <c r="K41" s="145"/>
      <c r="L41" s="145"/>
      <c r="M41" s="170"/>
      <c r="N41" s="145"/>
      <c r="O41" s="145"/>
      <c r="P41" s="145"/>
      <c r="Q41" s="145"/>
      <c r="R41" s="145"/>
      <c r="S41" s="145"/>
      <c r="T41" s="145"/>
      <c r="U41" s="145"/>
      <c r="X41" s="149"/>
      <c r="Y41" s="149"/>
      <c r="Z41" s="149"/>
      <c r="AA41" s="149"/>
      <c r="AB41" s="150"/>
      <c r="AC41" s="150"/>
      <c r="AD41" s="150"/>
      <c r="AE41" s="150"/>
      <c r="AF41" s="150"/>
      <c r="AG41" s="150"/>
      <c r="AH41" s="150"/>
      <c r="AI41" s="150"/>
      <c r="AJ41" s="150"/>
    </row>
    <row r="42" spans="1:36" s="148" customFormat="1" x14ac:dyDescent="0.25">
      <c r="A42" s="67" t="s">
        <v>64</v>
      </c>
      <c r="B42" s="45"/>
      <c r="C42" s="42">
        <v>1</v>
      </c>
      <c r="D42" s="37" t="s">
        <v>35</v>
      </c>
      <c r="E42" s="55">
        <v>0</v>
      </c>
      <c r="F42" s="133">
        <f t="shared" si="5"/>
        <v>0</v>
      </c>
      <c r="G42" s="139">
        <f t="shared" si="3"/>
        <v>0</v>
      </c>
      <c r="H42" s="133">
        <f t="shared" si="4"/>
        <v>0</v>
      </c>
      <c r="I42" s="170"/>
      <c r="J42" s="147"/>
      <c r="K42" s="145"/>
      <c r="L42" s="145"/>
      <c r="M42" s="170"/>
      <c r="N42" s="145"/>
      <c r="O42" s="145"/>
      <c r="P42" s="145"/>
      <c r="Q42" s="145"/>
      <c r="R42" s="145"/>
      <c r="S42" s="145"/>
      <c r="T42" s="145"/>
      <c r="U42" s="145"/>
      <c r="X42" s="149"/>
      <c r="Y42" s="149"/>
      <c r="Z42" s="149"/>
      <c r="AA42" s="149"/>
      <c r="AB42" s="150"/>
      <c r="AC42" s="150"/>
      <c r="AD42" s="150"/>
      <c r="AE42" s="150"/>
      <c r="AF42" s="150"/>
      <c r="AG42" s="150"/>
      <c r="AH42" s="150"/>
      <c r="AI42" s="150"/>
      <c r="AJ42" s="150"/>
    </row>
    <row r="43" spans="1:36" s="148" customFormat="1" x14ac:dyDescent="0.25">
      <c r="A43" s="180"/>
      <c r="B43" s="181" t="s">
        <v>52</v>
      </c>
      <c r="C43" s="182"/>
      <c r="D43" s="181"/>
      <c r="E43" s="183"/>
      <c r="F43" s="56">
        <f>SUM(F29:F42)</f>
        <v>0</v>
      </c>
      <c r="G43" s="205">
        <f>F43/$B$5</f>
        <v>0</v>
      </c>
      <c r="H43" s="134">
        <f t="shared" ref="H43:H56" si="6">F43*$B$4</f>
        <v>0</v>
      </c>
      <c r="I43" s="170"/>
      <c r="J43" s="147"/>
      <c r="K43" s="145"/>
      <c r="L43" s="145"/>
      <c r="M43" s="170"/>
      <c r="N43" s="145"/>
      <c r="O43" s="145"/>
      <c r="P43" s="145"/>
      <c r="Q43" s="145"/>
      <c r="R43" s="145"/>
      <c r="S43" s="145"/>
      <c r="T43" s="145"/>
      <c r="U43" s="145"/>
      <c r="X43" s="149"/>
      <c r="Y43" s="149"/>
      <c r="Z43" s="149"/>
      <c r="AA43" s="149"/>
      <c r="AB43" s="150"/>
      <c r="AC43" s="150"/>
      <c r="AD43" s="150"/>
      <c r="AE43" s="150"/>
      <c r="AF43" s="150"/>
      <c r="AG43" s="150"/>
      <c r="AH43" s="150"/>
      <c r="AI43" s="150"/>
      <c r="AJ43" s="150"/>
    </row>
    <row r="44" spans="1:36" s="148" customFormat="1" x14ac:dyDescent="0.25">
      <c r="A44" s="125" t="s">
        <v>139</v>
      </c>
      <c r="B44" s="122"/>
      <c r="C44" s="41">
        <v>0</v>
      </c>
      <c r="D44" s="123" t="s">
        <v>62</v>
      </c>
      <c r="E44" s="139">
        <f>Investeringskalkyl!$F$66</f>
        <v>24775.125448028673</v>
      </c>
      <c r="F44" s="133">
        <f>C44/100*E44</f>
        <v>0</v>
      </c>
      <c r="G44" s="139">
        <f>F44/$B$5</f>
        <v>0</v>
      </c>
      <c r="H44" s="133">
        <f t="shared" si="6"/>
        <v>0</v>
      </c>
      <c r="I44" s="170"/>
      <c r="J44" s="147"/>
      <c r="K44" s="145"/>
      <c r="L44" s="145"/>
      <c r="M44" s="170"/>
      <c r="N44" s="145"/>
      <c r="O44" s="145"/>
      <c r="P44" s="145"/>
      <c r="Q44" s="145"/>
      <c r="R44" s="145"/>
      <c r="S44" s="145"/>
      <c r="T44" s="145"/>
      <c r="U44" s="145"/>
      <c r="X44" s="149"/>
      <c r="Y44" s="149"/>
      <c r="Z44" s="149"/>
      <c r="AA44" s="149"/>
      <c r="AB44" s="150"/>
      <c r="AC44" s="150"/>
      <c r="AD44" s="150"/>
      <c r="AE44" s="150"/>
      <c r="AF44" s="150"/>
      <c r="AG44" s="150"/>
      <c r="AH44" s="150"/>
      <c r="AI44" s="150"/>
      <c r="AJ44" s="150"/>
    </row>
    <row r="45" spans="1:36" s="148" customFormat="1" x14ac:dyDescent="0.25">
      <c r="A45" s="125" t="s">
        <v>53</v>
      </c>
      <c r="B45" s="184" t="s">
        <v>72</v>
      </c>
      <c r="C45" s="138">
        <f>($E$19+$E$29)/2</f>
        <v>0</v>
      </c>
      <c r="D45" s="123" t="s">
        <v>35</v>
      </c>
      <c r="E45" s="137">
        <f>Investeringskalkyl!$B$23</f>
        <v>0.05</v>
      </c>
      <c r="F45" s="133">
        <f>C45*E45</f>
        <v>0</v>
      </c>
      <c r="G45" s="139">
        <f t="shared" si="3"/>
        <v>0</v>
      </c>
      <c r="H45" s="133">
        <f t="shared" si="6"/>
        <v>0</v>
      </c>
      <c r="I45" s="170"/>
      <c r="J45" s="147"/>
      <c r="K45" s="145"/>
      <c r="L45" s="145"/>
      <c r="M45" s="170"/>
      <c r="N45" s="145"/>
      <c r="O45" s="145"/>
      <c r="P45" s="145"/>
      <c r="Q45" s="145"/>
      <c r="R45" s="145"/>
      <c r="S45" s="145"/>
      <c r="T45" s="145"/>
      <c r="U45" s="145"/>
      <c r="X45" s="149"/>
      <c r="Y45" s="149"/>
      <c r="Z45" s="149"/>
      <c r="AA45" s="149"/>
      <c r="AB45" s="150"/>
      <c r="AC45" s="150"/>
      <c r="AD45" s="150"/>
      <c r="AE45" s="150"/>
      <c r="AF45" s="150"/>
      <c r="AG45" s="150"/>
      <c r="AH45" s="150"/>
      <c r="AI45" s="150"/>
      <c r="AJ45" s="150"/>
    </row>
    <row r="46" spans="1:36" s="148" customFormat="1" x14ac:dyDescent="0.25">
      <c r="A46" s="125" t="s">
        <v>128</v>
      </c>
      <c r="B46" s="184" t="s">
        <v>72</v>
      </c>
      <c r="C46" s="138">
        <f>(($F$43-$F$29)+SUM(F50:F54))/2</f>
        <v>0</v>
      </c>
      <c r="D46" s="123" t="s">
        <v>35</v>
      </c>
      <c r="E46" s="137">
        <f>Investeringskalkyl!$B$23</f>
        <v>0.05</v>
      </c>
      <c r="F46" s="133">
        <f>C46*E46</f>
        <v>0</v>
      </c>
      <c r="G46" s="139">
        <f t="shared" si="3"/>
        <v>0</v>
      </c>
      <c r="H46" s="133">
        <f t="shared" si="6"/>
        <v>0</v>
      </c>
      <c r="I46" s="170"/>
      <c r="J46" s="147"/>
      <c r="K46" s="145"/>
      <c r="L46" s="145"/>
      <c r="M46" s="170"/>
      <c r="N46" s="145"/>
      <c r="O46" s="145"/>
      <c r="P46" s="145"/>
      <c r="Q46" s="145"/>
      <c r="R46" s="145"/>
      <c r="S46" s="145"/>
      <c r="T46" s="145"/>
      <c r="U46" s="145"/>
      <c r="X46" s="149"/>
      <c r="Y46" s="149"/>
      <c r="Z46" s="149"/>
      <c r="AA46" s="149"/>
      <c r="AB46" s="150"/>
      <c r="AC46" s="150"/>
      <c r="AD46" s="150"/>
      <c r="AE46" s="150"/>
      <c r="AF46" s="150"/>
      <c r="AG46" s="150"/>
      <c r="AH46" s="150"/>
      <c r="AI46" s="150"/>
      <c r="AJ46" s="150"/>
    </row>
    <row r="47" spans="1:36" s="148" customFormat="1" x14ac:dyDescent="0.25">
      <c r="A47" s="67"/>
      <c r="B47" s="51"/>
      <c r="C47" s="42"/>
      <c r="D47" s="44"/>
      <c r="E47" s="86"/>
      <c r="F47" s="133">
        <f>C47*E47</f>
        <v>0</v>
      </c>
      <c r="G47" s="139">
        <f t="shared" si="3"/>
        <v>0</v>
      </c>
      <c r="H47" s="133">
        <f t="shared" si="6"/>
        <v>0</v>
      </c>
      <c r="I47" s="170"/>
      <c r="J47" s="147"/>
      <c r="K47" s="145"/>
      <c r="L47" s="145"/>
      <c r="M47" s="170"/>
      <c r="N47" s="145"/>
      <c r="O47" s="145"/>
      <c r="P47" s="145"/>
      <c r="Q47" s="145"/>
      <c r="R47" s="145"/>
      <c r="S47" s="145"/>
      <c r="T47" s="145"/>
      <c r="U47" s="145"/>
      <c r="X47" s="149"/>
      <c r="Y47" s="149"/>
      <c r="Z47" s="149"/>
      <c r="AA47" s="149"/>
      <c r="AB47" s="150"/>
      <c r="AC47" s="150"/>
      <c r="AD47" s="150"/>
      <c r="AE47" s="150"/>
      <c r="AF47" s="150"/>
      <c r="AG47" s="150"/>
      <c r="AH47" s="150"/>
      <c r="AI47" s="150"/>
      <c r="AJ47" s="150"/>
    </row>
    <row r="48" spans="1:36" s="148" customFormat="1" x14ac:dyDescent="0.25">
      <c r="A48" s="185"/>
      <c r="B48" s="181" t="s">
        <v>54</v>
      </c>
      <c r="C48" s="186" t="s">
        <v>34</v>
      </c>
      <c r="D48" s="181"/>
      <c r="E48" s="183" t="s">
        <v>34</v>
      </c>
      <c r="F48" s="56">
        <f>SUM(F44:F47)</f>
        <v>0</v>
      </c>
      <c r="G48" s="205">
        <f>F48/$B$5</f>
        <v>0</v>
      </c>
      <c r="H48" s="134">
        <f t="shared" si="6"/>
        <v>0</v>
      </c>
      <c r="I48" s="170"/>
      <c r="J48" s="147"/>
      <c r="K48" s="145"/>
      <c r="L48" s="145"/>
      <c r="M48" s="170"/>
      <c r="N48" s="145"/>
      <c r="O48" s="145"/>
      <c r="P48" s="145"/>
      <c r="Q48" s="145"/>
      <c r="R48" s="145"/>
      <c r="S48" s="145"/>
      <c r="T48" s="145"/>
      <c r="U48" s="145"/>
      <c r="X48" s="149"/>
      <c r="Y48" s="149"/>
      <c r="Z48" s="149"/>
      <c r="AA48" s="149"/>
      <c r="AB48" s="150"/>
      <c r="AC48" s="150"/>
      <c r="AD48" s="150"/>
      <c r="AE48" s="150"/>
      <c r="AF48" s="150"/>
      <c r="AG48" s="150"/>
      <c r="AH48" s="150"/>
      <c r="AI48" s="150"/>
      <c r="AJ48" s="150"/>
    </row>
    <row r="49" spans="1:38" s="148" customFormat="1" x14ac:dyDescent="0.25">
      <c r="A49" s="125" t="s">
        <v>55</v>
      </c>
      <c r="B49" s="184" t="s">
        <v>72</v>
      </c>
      <c r="C49" s="138">
        <f>IF(Investeringskalkyl!$C$14="suggor",1,0)</f>
        <v>0</v>
      </c>
      <c r="D49" s="124" t="s">
        <v>35</v>
      </c>
      <c r="E49" s="139">
        <f>Investeringskalkyl!$F$67*(Investeringskalkyl!$B$23/(1-(1+Investeringskalkyl!$B$23)^(-Investeringskalkyl!$B$26)))</f>
        <v>1972.5168308916927</v>
      </c>
      <c r="F49" s="133">
        <f t="shared" ref="F49:F54" si="7">C49*E49</f>
        <v>0</v>
      </c>
      <c r="G49" s="139">
        <f t="shared" si="3"/>
        <v>0</v>
      </c>
      <c r="H49" s="133">
        <f t="shared" si="6"/>
        <v>0</v>
      </c>
      <c r="I49" s="170"/>
      <c r="J49" s="147"/>
      <c r="K49" s="145"/>
      <c r="L49" s="145"/>
      <c r="M49" s="170"/>
      <c r="N49" s="145"/>
      <c r="O49" s="145"/>
      <c r="P49" s="145"/>
      <c r="Q49" s="145"/>
      <c r="R49" s="145"/>
      <c r="S49" s="145"/>
      <c r="T49" s="145"/>
      <c r="U49" s="145"/>
      <c r="X49" s="149"/>
      <c r="Y49" s="149"/>
      <c r="Z49" s="149"/>
      <c r="AA49" s="149"/>
      <c r="AB49" s="150"/>
      <c r="AC49" s="150"/>
      <c r="AD49" s="150"/>
      <c r="AE49" s="150"/>
      <c r="AF49" s="150"/>
      <c r="AG49" s="150"/>
      <c r="AH49" s="150"/>
      <c r="AI49" s="150"/>
      <c r="AJ49" s="150"/>
    </row>
    <row r="50" spans="1:38" s="148" customFormat="1" x14ac:dyDescent="0.25">
      <c r="A50" s="67" t="s">
        <v>67</v>
      </c>
      <c r="B50" s="45"/>
      <c r="C50" s="42">
        <v>0</v>
      </c>
      <c r="D50" s="37" t="s">
        <v>35</v>
      </c>
      <c r="E50" s="53">
        <v>0</v>
      </c>
      <c r="F50" s="133">
        <f t="shared" si="7"/>
        <v>0</v>
      </c>
      <c r="G50" s="139">
        <f t="shared" si="3"/>
        <v>0</v>
      </c>
      <c r="H50" s="133">
        <f t="shared" si="6"/>
        <v>0</v>
      </c>
      <c r="I50" s="170"/>
      <c r="J50" s="147"/>
      <c r="K50" s="145"/>
      <c r="L50" s="145"/>
      <c r="M50" s="170"/>
      <c r="N50" s="145"/>
      <c r="O50" s="145"/>
      <c r="P50" s="145"/>
      <c r="Q50" s="145"/>
      <c r="R50" s="145"/>
      <c r="S50" s="145"/>
      <c r="T50" s="145"/>
      <c r="U50" s="145"/>
      <c r="X50" s="149"/>
      <c r="Y50" s="149"/>
      <c r="Z50" s="149"/>
      <c r="AA50" s="149"/>
      <c r="AB50" s="150"/>
      <c r="AC50" s="150"/>
      <c r="AD50" s="150"/>
      <c r="AE50" s="150"/>
      <c r="AF50" s="150"/>
      <c r="AG50" s="150"/>
      <c r="AH50" s="150"/>
      <c r="AI50" s="150"/>
      <c r="AJ50" s="150"/>
    </row>
    <row r="51" spans="1:38" s="148" customFormat="1" x14ac:dyDescent="0.25">
      <c r="A51" s="67" t="s">
        <v>68</v>
      </c>
      <c r="B51" s="52"/>
      <c r="C51" s="42">
        <v>0</v>
      </c>
      <c r="D51" s="37" t="s">
        <v>35</v>
      </c>
      <c r="E51" s="54">
        <v>0</v>
      </c>
      <c r="F51" s="133">
        <f t="shared" si="7"/>
        <v>0</v>
      </c>
      <c r="G51" s="139">
        <f t="shared" si="3"/>
        <v>0</v>
      </c>
      <c r="H51" s="133">
        <f t="shared" si="6"/>
        <v>0</v>
      </c>
      <c r="I51" s="145"/>
      <c r="J51" s="147"/>
      <c r="K51" s="147"/>
      <c r="L51" s="145"/>
      <c r="M51" s="170"/>
      <c r="N51" s="145"/>
      <c r="O51" s="145"/>
      <c r="P51" s="145"/>
      <c r="Q51" s="145"/>
      <c r="R51" s="145"/>
      <c r="S51" s="145"/>
      <c r="T51" s="145"/>
      <c r="U51" s="145"/>
      <c r="X51" s="149"/>
      <c r="Y51" s="149"/>
      <c r="Z51" s="149"/>
      <c r="AA51" s="149"/>
      <c r="AB51" s="150"/>
      <c r="AC51" s="150"/>
      <c r="AD51" s="150"/>
      <c r="AE51" s="150"/>
      <c r="AF51" s="150"/>
      <c r="AG51" s="150"/>
      <c r="AH51" s="150"/>
      <c r="AI51" s="150"/>
      <c r="AJ51" s="150"/>
    </row>
    <row r="52" spans="1:38" s="148" customFormat="1" x14ac:dyDescent="0.25">
      <c r="A52" s="67" t="s">
        <v>61</v>
      </c>
      <c r="B52" s="45"/>
      <c r="C52" s="42">
        <v>0</v>
      </c>
      <c r="D52" s="37" t="s">
        <v>56</v>
      </c>
      <c r="E52" s="55">
        <v>220</v>
      </c>
      <c r="F52" s="133">
        <f t="shared" si="7"/>
        <v>0</v>
      </c>
      <c r="G52" s="139">
        <f t="shared" si="3"/>
        <v>0</v>
      </c>
      <c r="H52" s="133">
        <f t="shared" si="6"/>
        <v>0</v>
      </c>
      <c r="I52" s="170"/>
      <c r="J52" s="147"/>
      <c r="K52" s="145"/>
      <c r="L52" s="145"/>
      <c r="M52" s="170"/>
      <c r="N52" s="145"/>
      <c r="O52" s="145"/>
      <c r="P52" s="145"/>
      <c r="Q52" s="145"/>
      <c r="R52" s="145"/>
      <c r="S52" s="145"/>
      <c r="T52" s="145"/>
      <c r="U52" s="145"/>
      <c r="X52" s="149"/>
      <c r="Y52" s="149"/>
      <c r="Z52" s="149"/>
      <c r="AA52" s="149"/>
      <c r="AB52" s="150"/>
      <c r="AC52" s="150"/>
      <c r="AD52" s="150"/>
      <c r="AE52" s="150"/>
      <c r="AF52" s="150"/>
      <c r="AG52" s="150"/>
      <c r="AH52" s="150"/>
      <c r="AI52" s="150"/>
      <c r="AJ52" s="150"/>
    </row>
    <row r="53" spans="1:38" s="148" customFormat="1" x14ac:dyDescent="0.25">
      <c r="A53" s="67" t="s">
        <v>111</v>
      </c>
      <c r="B53" s="45"/>
      <c r="C53" s="42">
        <v>0</v>
      </c>
      <c r="D53" s="37" t="s">
        <v>56</v>
      </c>
      <c r="E53" s="55"/>
      <c r="F53" s="133">
        <f t="shared" si="7"/>
        <v>0</v>
      </c>
      <c r="G53" s="139">
        <f t="shared" si="3"/>
        <v>0</v>
      </c>
      <c r="H53" s="133">
        <f t="shared" si="6"/>
        <v>0</v>
      </c>
      <c r="I53" s="170"/>
      <c r="J53" s="147"/>
      <c r="K53" s="145"/>
      <c r="L53" s="145"/>
      <c r="M53" s="170"/>
      <c r="N53" s="145"/>
      <c r="O53" s="145"/>
      <c r="P53" s="145"/>
      <c r="Q53" s="145"/>
      <c r="R53" s="145"/>
      <c r="S53" s="145"/>
      <c r="T53" s="145"/>
      <c r="U53" s="145"/>
      <c r="X53" s="149"/>
      <c r="Y53" s="149"/>
      <c r="Z53" s="149"/>
      <c r="AA53" s="149"/>
      <c r="AB53" s="150"/>
      <c r="AC53" s="150"/>
      <c r="AD53" s="150"/>
      <c r="AE53" s="150"/>
      <c r="AF53" s="150"/>
      <c r="AG53" s="150"/>
      <c r="AH53" s="150"/>
      <c r="AI53" s="150"/>
      <c r="AJ53" s="150"/>
    </row>
    <row r="54" spans="1:38" s="148" customFormat="1" x14ac:dyDescent="0.25">
      <c r="A54" s="67"/>
      <c r="B54" s="45"/>
      <c r="C54" s="42"/>
      <c r="D54" s="37"/>
      <c r="E54" s="55"/>
      <c r="F54" s="133">
        <f t="shared" si="7"/>
        <v>0</v>
      </c>
      <c r="G54" s="139">
        <f t="shared" si="3"/>
        <v>0</v>
      </c>
      <c r="H54" s="133">
        <f t="shared" si="6"/>
        <v>0</v>
      </c>
      <c r="I54" s="170"/>
      <c r="J54" s="147"/>
      <c r="K54" s="145"/>
      <c r="L54" s="145"/>
      <c r="M54" s="170"/>
      <c r="N54" s="145"/>
      <c r="O54" s="145"/>
      <c r="P54" s="145"/>
      <c r="Q54" s="145"/>
      <c r="R54" s="145"/>
      <c r="S54" s="145"/>
      <c r="T54" s="145"/>
      <c r="U54" s="145"/>
      <c r="X54" s="149"/>
      <c r="Y54" s="149"/>
      <c r="Z54" s="149"/>
      <c r="AA54" s="149"/>
      <c r="AB54" s="150"/>
      <c r="AC54" s="150"/>
      <c r="AD54" s="150"/>
      <c r="AE54" s="150"/>
      <c r="AF54" s="150"/>
      <c r="AG54" s="150"/>
      <c r="AH54" s="150"/>
      <c r="AI54" s="150"/>
      <c r="AJ54" s="150"/>
    </row>
    <row r="55" spans="1:38" s="148" customFormat="1" x14ac:dyDescent="0.25">
      <c r="A55" s="187"/>
      <c r="B55" s="181" t="s">
        <v>57</v>
      </c>
      <c r="C55" s="182"/>
      <c r="D55" s="181"/>
      <c r="E55" s="188"/>
      <c r="F55" s="56">
        <f>SUM(F49:F54)</f>
        <v>0</v>
      </c>
      <c r="G55" s="205">
        <f>F55/$B$5</f>
        <v>0</v>
      </c>
      <c r="H55" s="134">
        <f t="shared" si="6"/>
        <v>0</v>
      </c>
      <c r="I55" s="145"/>
      <c r="J55" s="147"/>
      <c r="K55" s="147"/>
      <c r="L55" s="145"/>
      <c r="M55" s="170"/>
      <c r="N55" s="145"/>
      <c r="O55" s="145"/>
      <c r="P55" s="145"/>
      <c r="Q55" s="145"/>
      <c r="R55" s="145"/>
      <c r="S55" s="145"/>
      <c r="T55" s="145"/>
      <c r="U55" s="145"/>
      <c r="X55" s="149"/>
      <c r="Y55" s="149"/>
      <c r="Z55" s="149"/>
      <c r="AA55" s="149"/>
      <c r="AB55" s="150"/>
      <c r="AC55" s="150"/>
      <c r="AD55" s="150"/>
      <c r="AE55" s="150"/>
      <c r="AF55" s="150"/>
      <c r="AG55" s="150"/>
      <c r="AH55" s="150"/>
      <c r="AI55" s="150"/>
      <c r="AJ55" s="150"/>
    </row>
    <row r="56" spans="1:38" s="148" customFormat="1" x14ac:dyDescent="0.25">
      <c r="A56" s="180" t="s">
        <v>73</v>
      </c>
      <c r="B56" s="181"/>
      <c r="C56" s="182"/>
      <c r="D56" s="181"/>
      <c r="E56" s="188"/>
      <c r="F56" s="56">
        <f>$F$43+$F$48+$F$55</f>
        <v>0</v>
      </c>
      <c r="G56" s="205">
        <f>F56/$B$5</f>
        <v>0</v>
      </c>
      <c r="H56" s="134">
        <f t="shared" si="6"/>
        <v>0</v>
      </c>
      <c r="I56" s="145"/>
      <c r="J56" s="147"/>
      <c r="K56" s="147"/>
      <c r="L56" s="145"/>
      <c r="M56" s="170"/>
      <c r="N56" s="145"/>
      <c r="O56" s="145"/>
      <c r="P56" s="145"/>
      <c r="Q56" s="145"/>
      <c r="R56" s="145"/>
      <c r="S56" s="145"/>
      <c r="T56" s="145"/>
      <c r="U56" s="145"/>
      <c r="X56" s="149"/>
      <c r="Y56" s="149"/>
      <c r="Z56" s="149"/>
      <c r="AA56" s="149"/>
      <c r="AB56" s="150"/>
      <c r="AC56" s="150"/>
      <c r="AD56" s="150"/>
      <c r="AE56" s="150"/>
      <c r="AF56" s="150"/>
      <c r="AG56" s="150"/>
      <c r="AH56" s="150"/>
      <c r="AI56" s="150"/>
      <c r="AJ56" s="150"/>
    </row>
    <row r="57" spans="1:38" s="148" customFormat="1" x14ac:dyDescent="0.25">
      <c r="A57" s="125"/>
      <c r="B57" s="145"/>
      <c r="C57" s="145"/>
      <c r="D57" s="145"/>
      <c r="E57" s="145"/>
      <c r="F57" s="135"/>
      <c r="G57" s="206"/>
      <c r="H57" s="135"/>
      <c r="I57" s="145"/>
      <c r="J57" s="147"/>
      <c r="K57" s="147"/>
      <c r="L57" s="145"/>
      <c r="M57" s="170"/>
      <c r="N57" s="145"/>
      <c r="O57" s="145"/>
      <c r="P57" s="145"/>
      <c r="Q57" s="145"/>
      <c r="R57" s="145"/>
      <c r="S57" s="145"/>
      <c r="T57" s="145"/>
      <c r="U57" s="145"/>
      <c r="X57" s="149"/>
      <c r="Y57" s="149"/>
      <c r="Z57" s="149"/>
      <c r="AA57" s="149"/>
      <c r="AB57" s="150"/>
      <c r="AC57" s="150"/>
      <c r="AD57" s="150"/>
      <c r="AE57" s="150"/>
      <c r="AF57" s="150"/>
      <c r="AG57" s="150"/>
      <c r="AH57" s="150"/>
      <c r="AI57" s="150"/>
      <c r="AJ57" s="150"/>
    </row>
    <row r="58" spans="1:38" s="148" customFormat="1" x14ac:dyDescent="0.25">
      <c r="A58" s="189"/>
      <c r="C58" s="145"/>
      <c r="D58" s="145"/>
      <c r="E58" s="190"/>
      <c r="F58" s="126"/>
      <c r="G58" s="206"/>
      <c r="H58" s="191"/>
      <c r="I58" s="192"/>
      <c r="J58" s="192"/>
      <c r="K58" s="145"/>
      <c r="L58" s="147"/>
      <c r="M58" s="147"/>
      <c r="N58" s="147"/>
      <c r="O58" s="170"/>
      <c r="P58" s="145"/>
      <c r="Q58" s="145"/>
      <c r="R58" s="145"/>
      <c r="S58" s="145"/>
      <c r="T58" s="145"/>
      <c r="U58" s="145"/>
      <c r="V58" s="145"/>
      <c r="W58" s="145"/>
      <c r="Z58" s="149"/>
      <c r="AA58" s="149"/>
      <c r="AB58" s="149"/>
      <c r="AC58" s="149"/>
      <c r="AD58" s="150"/>
      <c r="AE58" s="150"/>
      <c r="AF58" s="150"/>
      <c r="AG58" s="150"/>
      <c r="AH58" s="150"/>
      <c r="AI58" s="150"/>
      <c r="AJ58" s="150"/>
      <c r="AK58" s="150"/>
      <c r="AL58" s="150"/>
    </row>
    <row r="59" spans="1:38" s="148" customFormat="1" x14ac:dyDescent="0.25">
      <c r="A59" s="189"/>
      <c r="C59" s="145"/>
      <c r="D59" s="145"/>
      <c r="E59" s="190"/>
      <c r="G59" s="206"/>
      <c r="H59" s="145"/>
      <c r="I59" s="193"/>
      <c r="J59" s="192"/>
      <c r="K59" s="145"/>
      <c r="L59" s="147"/>
      <c r="M59" s="147"/>
      <c r="N59" s="147"/>
      <c r="O59" s="170"/>
      <c r="P59" s="145"/>
      <c r="Q59" s="145"/>
      <c r="R59" s="145"/>
      <c r="S59" s="145"/>
      <c r="T59" s="145"/>
      <c r="U59" s="145"/>
      <c r="V59" s="145"/>
      <c r="W59" s="145"/>
      <c r="Z59" s="149"/>
      <c r="AA59" s="149"/>
      <c r="AB59" s="149"/>
      <c r="AC59" s="149"/>
      <c r="AD59" s="150"/>
      <c r="AE59" s="150"/>
      <c r="AF59" s="150"/>
      <c r="AG59" s="150"/>
      <c r="AH59" s="150"/>
      <c r="AI59" s="150"/>
      <c r="AJ59" s="150"/>
      <c r="AK59" s="150"/>
      <c r="AL59" s="150"/>
    </row>
    <row r="60" spans="1:38" s="148" customFormat="1" x14ac:dyDescent="0.25">
      <c r="A60" s="189"/>
      <c r="C60" s="145"/>
      <c r="D60" s="145"/>
      <c r="E60" s="190"/>
      <c r="G60" s="206"/>
      <c r="H60" s="145"/>
      <c r="I60" s="193"/>
      <c r="J60" s="192"/>
      <c r="K60" s="145"/>
      <c r="L60" s="147"/>
      <c r="M60" s="147"/>
      <c r="N60" s="147"/>
      <c r="O60" s="170"/>
      <c r="P60" s="145"/>
      <c r="Q60" s="145"/>
      <c r="R60" s="145"/>
      <c r="S60" s="145"/>
      <c r="T60" s="145"/>
      <c r="U60" s="145"/>
      <c r="V60" s="145"/>
      <c r="W60" s="145"/>
      <c r="Z60" s="149"/>
      <c r="AA60" s="149"/>
      <c r="AB60" s="149"/>
      <c r="AC60" s="149"/>
      <c r="AD60" s="150"/>
      <c r="AE60" s="150"/>
      <c r="AF60" s="150"/>
      <c r="AG60" s="150"/>
      <c r="AH60" s="150"/>
      <c r="AI60" s="150"/>
      <c r="AJ60" s="150"/>
      <c r="AK60" s="150"/>
      <c r="AL60" s="150"/>
    </row>
    <row r="61" spans="1:38" s="148" customFormat="1" x14ac:dyDescent="0.25">
      <c r="A61" s="189"/>
      <c r="C61" s="145"/>
      <c r="D61" s="145"/>
      <c r="E61" s="190"/>
      <c r="G61" s="206"/>
      <c r="H61" s="145"/>
      <c r="I61" s="192"/>
      <c r="J61" s="192"/>
      <c r="K61" s="145"/>
      <c r="L61" s="147"/>
      <c r="M61" s="147"/>
      <c r="N61" s="147"/>
      <c r="O61" s="170"/>
      <c r="P61" s="145"/>
      <c r="Q61" s="145"/>
      <c r="R61" s="145"/>
      <c r="S61" s="145"/>
      <c r="T61" s="145"/>
      <c r="U61" s="145"/>
      <c r="V61" s="145"/>
      <c r="W61" s="145"/>
      <c r="Z61" s="149"/>
      <c r="AA61" s="149"/>
      <c r="AB61" s="149"/>
      <c r="AC61" s="149"/>
      <c r="AD61" s="150"/>
      <c r="AE61" s="150"/>
      <c r="AF61" s="150"/>
      <c r="AG61" s="150"/>
      <c r="AH61" s="150"/>
      <c r="AI61" s="150"/>
      <c r="AJ61" s="150"/>
      <c r="AK61" s="150"/>
      <c r="AL61" s="150"/>
    </row>
    <row r="62" spans="1:38" s="148" customFormat="1" x14ac:dyDescent="0.25">
      <c r="A62" s="189"/>
      <c r="C62" s="145"/>
      <c r="D62" s="145"/>
      <c r="E62" s="190"/>
      <c r="G62" s="206"/>
      <c r="H62" s="145"/>
      <c r="I62" s="192"/>
      <c r="J62" s="192"/>
      <c r="K62" s="145"/>
      <c r="L62" s="147"/>
      <c r="M62" s="147"/>
      <c r="N62" s="147"/>
      <c r="O62" s="170"/>
      <c r="P62" s="145"/>
      <c r="Q62" s="145"/>
      <c r="R62" s="145"/>
      <c r="S62" s="145"/>
      <c r="T62" s="145"/>
      <c r="U62" s="145"/>
      <c r="V62" s="145"/>
      <c r="W62" s="145"/>
      <c r="Z62" s="149"/>
      <c r="AA62" s="149"/>
      <c r="AB62" s="149"/>
      <c r="AC62" s="149"/>
      <c r="AD62" s="150"/>
      <c r="AE62" s="150"/>
      <c r="AF62" s="150"/>
      <c r="AG62" s="150"/>
      <c r="AH62" s="150"/>
      <c r="AI62" s="150"/>
      <c r="AJ62" s="150"/>
      <c r="AK62" s="150"/>
      <c r="AL62" s="150"/>
    </row>
    <row r="63" spans="1:38" s="148" customFormat="1" x14ac:dyDescent="0.25">
      <c r="A63" s="189"/>
      <c r="C63" s="145"/>
      <c r="D63" s="145"/>
      <c r="E63" s="190"/>
      <c r="G63" s="147"/>
      <c r="H63" s="145"/>
      <c r="I63" s="147"/>
      <c r="J63" s="147"/>
      <c r="K63" s="170"/>
      <c r="L63" s="145"/>
      <c r="M63" s="145"/>
      <c r="N63" s="145"/>
      <c r="O63" s="145"/>
      <c r="P63" s="145"/>
      <c r="Q63" s="145"/>
      <c r="R63" s="145"/>
      <c r="S63" s="145"/>
      <c r="V63" s="149"/>
      <c r="W63" s="149"/>
      <c r="X63" s="149"/>
      <c r="Y63" s="149"/>
      <c r="Z63" s="150"/>
      <c r="AA63" s="150"/>
      <c r="AB63" s="150"/>
      <c r="AC63" s="150"/>
      <c r="AD63" s="150"/>
      <c r="AE63" s="150"/>
      <c r="AF63" s="150"/>
      <c r="AG63" s="150"/>
      <c r="AH63" s="150"/>
    </row>
    <row r="64" spans="1:38" s="148" customFormat="1" x14ac:dyDescent="0.25">
      <c r="A64" s="189"/>
      <c r="C64" s="145"/>
      <c r="D64" s="145"/>
      <c r="E64" s="190"/>
      <c r="G64" s="147"/>
      <c r="H64" s="145"/>
      <c r="I64" s="147"/>
      <c r="J64" s="147"/>
      <c r="K64" s="170"/>
      <c r="L64" s="145"/>
      <c r="M64" s="145"/>
      <c r="N64" s="145"/>
      <c r="O64" s="145"/>
      <c r="P64" s="145"/>
      <c r="Q64" s="145"/>
      <c r="R64" s="145"/>
      <c r="S64" s="145"/>
      <c r="V64" s="149"/>
      <c r="W64" s="149"/>
      <c r="X64" s="149"/>
      <c r="Y64" s="149"/>
      <c r="Z64" s="150"/>
      <c r="AA64" s="150"/>
      <c r="AB64" s="150"/>
      <c r="AC64" s="150"/>
      <c r="AD64" s="150"/>
      <c r="AE64" s="150"/>
      <c r="AF64" s="150"/>
      <c r="AG64" s="150"/>
      <c r="AH64" s="150"/>
    </row>
    <row r="65" spans="2:34" s="148" customFormat="1" x14ac:dyDescent="0.25">
      <c r="C65" s="145"/>
      <c r="D65" s="145"/>
      <c r="E65" s="190"/>
      <c r="G65" s="147"/>
      <c r="H65" s="145"/>
      <c r="I65" s="147"/>
      <c r="J65" s="147"/>
      <c r="K65" s="170"/>
      <c r="L65" s="145"/>
      <c r="M65" s="145"/>
      <c r="N65" s="145"/>
      <c r="O65" s="145"/>
      <c r="P65" s="145"/>
      <c r="Q65" s="145"/>
      <c r="R65" s="145"/>
      <c r="S65" s="145"/>
      <c r="V65" s="149"/>
      <c r="W65" s="149"/>
      <c r="X65" s="149"/>
      <c r="Y65" s="149"/>
      <c r="Z65" s="150"/>
      <c r="AA65" s="150"/>
      <c r="AB65" s="150"/>
      <c r="AC65" s="150"/>
      <c r="AD65" s="150"/>
      <c r="AE65" s="150"/>
      <c r="AF65" s="150"/>
      <c r="AG65" s="150"/>
      <c r="AH65" s="150"/>
    </row>
    <row r="66" spans="2:34" s="148" customFormat="1" x14ac:dyDescent="0.25">
      <c r="C66" s="145"/>
      <c r="D66" s="145"/>
      <c r="E66" s="190"/>
      <c r="G66" s="147"/>
      <c r="H66" s="145"/>
      <c r="I66" s="147"/>
      <c r="J66" s="147"/>
      <c r="K66" s="170"/>
      <c r="L66" s="145"/>
      <c r="M66" s="145"/>
      <c r="N66" s="145"/>
      <c r="O66" s="145"/>
      <c r="P66" s="145"/>
      <c r="Q66" s="145"/>
      <c r="R66" s="145"/>
      <c r="S66" s="145"/>
      <c r="V66" s="149"/>
      <c r="W66" s="149"/>
      <c r="X66" s="149"/>
      <c r="Y66" s="149"/>
      <c r="Z66" s="150"/>
      <c r="AA66" s="150"/>
      <c r="AB66" s="150"/>
      <c r="AC66" s="150"/>
      <c r="AD66" s="150"/>
      <c r="AE66" s="150"/>
    </row>
    <row r="67" spans="2:34" s="148" customFormat="1" x14ac:dyDescent="0.25">
      <c r="C67" s="145"/>
      <c r="D67" s="145"/>
      <c r="E67" s="190"/>
      <c r="G67" s="147"/>
      <c r="H67" s="145"/>
      <c r="I67" s="147"/>
      <c r="J67" s="147"/>
      <c r="K67" s="170"/>
      <c r="L67" s="145"/>
      <c r="M67" s="145"/>
      <c r="N67" s="145"/>
      <c r="O67" s="145"/>
      <c r="P67" s="145"/>
      <c r="Q67" s="145"/>
      <c r="R67" s="145"/>
      <c r="S67" s="145"/>
      <c r="V67" s="149"/>
      <c r="W67" s="149"/>
      <c r="X67" s="149"/>
      <c r="Y67" s="149"/>
      <c r="Z67" s="150"/>
      <c r="AA67" s="150"/>
      <c r="AB67" s="150"/>
      <c r="AC67" s="150"/>
      <c r="AD67" s="150"/>
      <c r="AE67" s="150"/>
    </row>
    <row r="68" spans="2:34" s="148" customFormat="1" x14ac:dyDescent="0.25">
      <c r="C68" s="145"/>
      <c r="D68" s="145"/>
      <c r="E68" s="190"/>
      <c r="G68" s="147"/>
      <c r="H68" s="145"/>
      <c r="I68" s="147"/>
      <c r="J68" s="147"/>
      <c r="K68" s="170"/>
      <c r="L68" s="145"/>
      <c r="M68" s="145"/>
      <c r="N68" s="145"/>
      <c r="O68" s="145"/>
      <c r="P68" s="145"/>
      <c r="Q68" s="145"/>
      <c r="R68" s="145"/>
      <c r="S68" s="145"/>
      <c r="V68" s="149"/>
      <c r="W68" s="149"/>
      <c r="X68" s="149"/>
      <c r="Y68" s="149"/>
      <c r="Z68" s="150"/>
      <c r="AA68" s="150"/>
      <c r="AB68" s="150"/>
      <c r="AC68" s="150"/>
      <c r="AD68" s="150"/>
      <c r="AE68" s="150"/>
    </row>
    <row r="69" spans="2:34" x14ac:dyDescent="0.25">
      <c r="C69" s="145"/>
      <c r="D69" s="145"/>
      <c r="E69" s="190"/>
      <c r="F69" s="148"/>
      <c r="H69" s="145"/>
    </row>
    <row r="70" spans="2:34" x14ac:dyDescent="0.25">
      <c r="C70" s="145"/>
      <c r="D70" s="145"/>
      <c r="E70" s="190"/>
      <c r="F70" s="148"/>
      <c r="H70" s="145"/>
    </row>
    <row r="71" spans="2:34" x14ac:dyDescent="0.25">
      <c r="B71" s="194"/>
    </row>
    <row r="72" spans="2:34" x14ac:dyDescent="0.25">
      <c r="B72" s="194"/>
    </row>
    <row r="73" spans="2:34" x14ac:dyDescent="0.25">
      <c r="B73" s="194"/>
    </row>
  </sheetData>
  <sheetProtection sheet="1" objects="1" scenarios="1"/>
  <printOptions horizontalCentered="1" verticalCentered="1"/>
  <pageMargins left="0.23622047244094491" right="0.23622047244094491" top="0.74803149606299213" bottom="0.74803149606299213" header="0.31496062992125984" footer="0.31496062992125984"/>
  <pageSetup paperSize="9" scale="6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Z68"/>
  <sheetViews>
    <sheetView workbookViewId="0">
      <selection activeCell="E10" sqref="E10:E11"/>
    </sheetView>
  </sheetViews>
  <sheetFormatPr defaultColWidth="9.109375" defaultRowHeight="13.8" x14ac:dyDescent="0.25"/>
  <cols>
    <col min="1" max="1" width="30.6640625" style="146" customWidth="1"/>
    <col min="2" max="2" width="14.109375" style="146" customWidth="1"/>
    <col min="3" max="3" width="11.88671875" style="146" customWidth="1"/>
    <col min="4" max="4" width="9.109375" style="146" customWidth="1"/>
    <col min="5" max="5" width="15.33203125" style="146" customWidth="1"/>
    <col min="6" max="6" width="14.44140625" style="146" bestFit="1" customWidth="1"/>
    <col min="7" max="7" width="15.6640625" style="146" bestFit="1" customWidth="1"/>
    <col min="8" max="9" width="9.5546875" style="146" bestFit="1" customWidth="1"/>
    <col min="10" max="16384" width="9.109375" style="146"/>
  </cols>
  <sheetData>
    <row r="1" spans="1:37" ht="27.6" x14ac:dyDescent="0.45">
      <c r="A1" s="154" t="s">
        <v>114</v>
      </c>
    </row>
    <row r="2" spans="1:37" ht="14.4" thickBot="1" x14ac:dyDescent="0.3"/>
    <row r="3" spans="1:37" x14ac:dyDescent="0.25">
      <c r="A3" s="155" t="s">
        <v>60</v>
      </c>
      <c r="B3" s="156"/>
      <c r="C3" s="157"/>
    </row>
    <row r="4" spans="1:37" x14ac:dyDescent="0.25">
      <c r="A4" s="128" t="s">
        <v>21</v>
      </c>
      <c r="B4" s="158">
        <f>IF(Investeringskalkyl!$C$14="slaktgrisar",Investeringskalkyl!$B$14,0)</f>
        <v>0</v>
      </c>
      <c r="C4" s="159" t="s">
        <v>29</v>
      </c>
      <c r="D4" s="160"/>
    </row>
    <row r="5" spans="1:37" ht="14.4" thickBot="1" x14ac:dyDescent="0.3">
      <c r="A5" s="161" t="s">
        <v>118</v>
      </c>
      <c r="B5" s="140">
        <v>1</v>
      </c>
      <c r="C5" s="162" t="s">
        <v>37</v>
      </c>
      <c r="D5" s="160"/>
    </row>
    <row r="6" spans="1:37" ht="14.4" thickBot="1" x14ac:dyDescent="0.3">
      <c r="A6" s="163"/>
      <c r="B6" s="164"/>
      <c r="C6" s="165"/>
      <c r="D6" s="160"/>
    </row>
    <row r="7" spans="1:37" x14ac:dyDescent="0.25">
      <c r="A7" s="141" t="s">
        <v>66</v>
      </c>
      <c r="B7" s="142"/>
    </row>
    <row r="8" spans="1:37" ht="14.4" thickBot="1" x14ac:dyDescent="0.3">
      <c r="A8" s="127" t="s">
        <v>137</v>
      </c>
      <c r="B8" s="90">
        <f>$B$14*$B$4*$B$5</f>
        <v>0</v>
      </c>
    </row>
    <row r="9" spans="1:37" x14ac:dyDescent="0.25">
      <c r="A9" s="128" t="s">
        <v>138</v>
      </c>
      <c r="B9" s="229" t="e">
        <f>$B$8/$G$22</f>
        <v>#DIV/0!</v>
      </c>
    </row>
    <row r="10" spans="1:37" ht="14.4" thickBot="1" x14ac:dyDescent="0.3">
      <c r="A10" s="130" t="s">
        <v>155</v>
      </c>
      <c r="B10" s="131">
        <f>$G$47+$G$48</f>
        <v>0</v>
      </c>
    </row>
    <row r="11" spans="1:37" x14ac:dyDescent="0.25">
      <c r="A11" s="268" t="s">
        <v>130</v>
      </c>
      <c r="B11" s="269"/>
    </row>
    <row r="12" spans="1:37" ht="18.75" customHeight="1" x14ac:dyDescent="0.25">
      <c r="A12" s="132" t="s">
        <v>91</v>
      </c>
      <c r="B12" s="89">
        <f>$F$22-$F$38</f>
        <v>0</v>
      </c>
    </row>
    <row r="13" spans="1:37" x14ac:dyDescent="0.25">
      <c r="A13" s="132" t="s">
        <v>92</v>
      </c>
      <c r="B13" s="89">
        <f>$F$22-$F$38-$F$43</f>
        <v>0</v>
      </c>
    </row>
    <row r="14" spans="1:37" ht="14.4" thickBot="1" x14ac:dyDescent="0.3">
      <c r="A14" s="127" t="s">
        <v>93</v>
      </c>
      <c r="B14" s="90">
        <f>$F$22-$F$38-$F43-$F$50</f>
        <v>0</v>
      </c>
    </row>
    <row r="15" spans="1:37" s="148" customFormat="1" ht="12.15" customHeight="1" x14ac:dyDescent="0.25">
      <c r="A15" s="125"/>
      <c r="B15" s="123"/>
      <c r="C15" s="143"/>
      <c r="D15" s="143"/>
      <c r="E15" s="144"/>
      <c r="F15" s="144"/>
      <c r="G15" s="145"/>
      <c r="H15" s="146"/>
      <c r="I15" s="146"/>
      <c r="J15" s="146"/>
      <c r="K15" s="147"/>
      <c r="M15" s="145"/>
      <c r="N15" s="145"/>
      <c r="O15" s="145"/>
      <c r="P15" s="145"/>
      <c r="Q15" s="145"/>
      <c r="R15" s="145"/>
      <c r="S15" s="145"/>
      <c r="T15" s="145"/>
      <c r="U15" s="145"/>
      <c r="V15" s="145"/>
      <c r="Y15" s="149"/>
      <c r="Z15" s="149"/>
      <c r="AA15" s="149"/>
      <c r="AB15" s="149"/>
      <c r="AC15" s="150"/>
      <c r="AD15" s="150"/>
      <c r="AE15" s="150"/>
      <c r="AF15" s="150"/>
      <c r="AG15" s="150"/>
      <c r="AH15" s="150"/>
      <c r="AI15" s="150"/>
      <c r="AJ15" s="150"/>
      <c r="AK15" s="150"/>
    </row>
    <row r="16" spans="1:37" s="148" customFormat="1" ht="12.15" customHeight="1" x14ac:dyDescent="0.25">
      <c r="A16" s="151"/>
      <c r="B16" s="152"/>
      <c r="C16" s="153"/>
      <c r="D16" s="153"/>
      <c r="E16" s="153"/>
      <c r="F16" s="153"/>
      <c r="G16" s="145"/>
      <c r="H16" s="146"/>
      <c r="I16" s="146"/>
      <c r="J16" s="146"/>
      <c r="K16" s="147"/>
      <c r="M16" s="145"/>
      <c r="N16" s="145"/>
      <c r="O16" s="145"/>
      <c r="P16" s="145"/>
      <c r="Q16" s="145"/>
      <c r="R16" s="145"/>
      <c r="S16" s="145"/>
      <c r="T16" s="145"/>
      <c r="U16" s="145"/>
      <c r="V16" s="145"/>
      <c r="Y16" s="149"/>
      <c r="Z16" s="149"/>
      <c r="AA16" s="149"/>
      <c r="AB16" s="149"/>
      <c r="AC16" s="150"/>
      <c r="AD16" s="150"/>
      <c r="AE16" s="150"/>
      <c r="AF16" s="150"/>
      <c r="AG16" s="150"/>
      <c r="AH16" s="150"/>
      <c r="AI16" s="150"/>
      <c r="AJ16" s="150"/>
      <c r="AK16" s="150"/>
    </row>
    <row r="17" spans="1:52" s="148" customFormat="1" ht="27.6" x14ac:dyDescent="0.25">
      <c r="A17" s="166" t="s">
        <v>103</v>
      </c>
      <c r="B17" s="167" t="s">
        <v>6</v>
      </c>
      <c r="C17" s="168" t="s">
        <v>115</v>
      </c>
      <c r="D17" s="168" t="s">
        <v>20</v>
      </c>
      <c r="E17" s="168" t="s">
        <v>63</v>
      </c>
      <c r="F17" s="168" t="s">
        <v>117</v>
      </c>
      <c r="G17" s="169" t="s">
        <v>121</v>
      </c>
      <c r="H17" s="146"/>
      <c r="I17" s="146"/>
      <c r="J17" s="146"/>
      <c r="K17" s="147"/>
      <c r="M17" s="145"/>
      <c r="N17" s="145"/>
      <c r="O17" s="145"/>
      <c r="P17" s="145"/>
      <c r="Q17" s="145"/>
      <c r="R17" s="145"/>
      <c r="S17" s="145"/>
      <c r="T17" s="145"/>
      <c r="U17" s="145"/>
      <c r="V17" s="145"/>
      <c r="Y17" s="149"/>
      <c r="Z17" s="149"/>
      <c r="AA17" s="149"/>
      <c r="AB17" s="149"/>
      <c r="AC17" s="150"/>
      <c r="AD17" s="150"/>
      <c r="AE17" s="150"/>
      <c r="AF17" s="150"/>
      <c r="AG17" s="150"/>
      <c r="AH17" s="150"/>
      <c r="AI17" s="150"/>
      <c r="AJ17" s="150"/>
      <c r="AK17" s="150"/>
    </row>
    <row r="18" spans="1:52" s="148" customFormat="1" x14ac:dyDescent="0.25">
      <c r="A18" s="125" t="s">
        <v>119</v>
      </c>
      <c r="B18" s="45">
        <v>1</v>
      </c>
      <c r="C18" s="40"/>
      <c r="D18" s="37" t="s">
        <v>44</v>
      </c>
      <c r="E18" s="55">
        <v>0</v>
      </c>
      <c r="F18" s="133">
        <f>C18*E18</f>
        <v>0</v>
      </c>
      <c r="G18" s="133">
        <f>F18*$B$4*$B$5</f>
        <v>0</v>
      </c>
      <c r="H18" s="146"/>
      <c r="I18" s="146"/>
      <c r="J18" s="146"/>
      <c r="K18" s="147"/>
      <c r="M18" s="145"/>
      <c r="N18" s="170"/>
      <c r="O18" s="145"/>
      <c r="P18" s="145"/>
      <c r="Q18" s="145"/>
      <c r="R18" s="145"/>
      <c r="S18" s="145"/>
      <c r="T18" s="145"/>
      <c r="U18" s="145"/>
      <c r="V18" s="145"/>
      <c r="Y18" s="149"/>
      <c r="Z18" s="149"/>
      <c r="AA18" s="149"/>
      <c r="AB18" s="149"/>
      <c r="AC18" s="150"/>
      <c r="AD18" s="150"/>
      <c r="AE18" s="150"/>
      <c r="AF18" s="150"/>
      <c r="AG18" s="150"/>
      <c r="AH18" s="150"/>
      <c r="AI18" s="150"/>
      <c r="AJ18" s="150"/>
      <c r="AK18" s="150"/>
    </row>
    <row r="19" spans="1:52" s="148" customFormat="1" x14ac:dyDescent="0.25">
      <c r="A19" s="125" t="s">
        <v>39</v>
      </c>
      <c r="B19" s="45">
        <v>2</v>
      </c>
      <c r="C19" s="40"/>
      <c r="D19" s="44" t="s">
        <v>35</v>
      </c>
      <c r="E19" s="55">
        <v>0</v>
      </c>
      <c r="F19" s="133">
        <f>C19*E19</f>
        <v>0</v>
      </c>
      <c r="G19" s="133">
        <f>F19*$B$4*$B$5</f>
        <v>0</v>
      </c>
      <c r="H19" s="146"/>
      <c r="I19" s="146"/>
      <c r="J19" s="146"/>
      <c r="K19" s="147"/>
      <c r="M19" s="145"/>
      <c r="N19" s="170"/>
      <c r="O19" s="145"/>
      <c r="P19" s="145"/>
      <c r="Q19" s="145"/>
      <c r="R19" s="145"/>
      <c r="S19" s="145"/>
      <c r="T19" s="145"/>
      <c r="U19" s="145"/>
      <c r="V19" s="145"/>
      <c r="Y19" s="149"/>
      <c r="Z19" s="149"/>
      <c r="AA19" s="149"/>
      <c r="AB19" s="149"/>
      <c r="AC19" s="150"/>
      <c r="AD19" s="150"/>
      <c r="AE19" s="150"/>
      <c r="AF19" s="150"/>
      <c r="AG19" s="150"/>
      <c r="AH19" s="150"/>
      <c r="AI19" s="150"/>
      <c r="AJ19" s="150"/>
      <c r="AK19" s="150"/>
    </row>
    <row r="20" spans="1:52" s="148" customFormat="1" x14ac:dyDescent="0.25">
      <c r="A20" s="125" t="s">
        <v>71</v>
      </c>
      <c r="B20" s="45">
        <v>3</v>
      </c>
      <c r="C20" s="40"/>
      <c r="D20" s="44" t="s">
        <v>41</v>
      </c>
      <c r="E20" s="55">
        <v>0</v>
      </c>
      <c r="F20" s="133">
        <f>C20*E20</f>
        <v>0</v>
      </c>
      <c r="G20" s="133">
        <f>F20*$B$4*$B$5</f>
        <v>0</v>
      </c>
      <c r="H20" s="146"/>
      <c r="I20" s="146"/>
      <c r="J20" s="146"/>
      <c r="K20" s="147"/>
      <c r="M20" s="145"/>
      <c r="N20" s="170"/>
      <c r="O20" s="145"/>
      <c r="P20" s="145"/>
      <c r="Q20" s="145"/>
      <c r="R20" s="145"/>
      <c r="S20" s="145"/>
      <c r="T20" s="145"/>
      <c r="U20" s="145"/>
      <c r="V20" s="145"/>
      <c r="Y20" s="149"/>
      <c r="Z20" s="149"/>
      <c r="AA20" s="149"/>
      <c r="AB20" s="149"/>
      <c r="AC20" s="150"/>
      <c r="AD20" s="150"/>
      <c r="AE20" s="150"/>
      <c r="AF20" s="150"/>
      <c r="AG20" s="150"/>
      <c r="AH20" s="150"/>
      <c r="AI20" s="150"/>
      <c r="AJ20" s="150"/>
      <c r="AK20" s="150"/>
      <c r="AZ20" s="145"/>
    </row>
    <row r="21" spans="1:52" s="148" customFormat="1" x14ac:dyDescent="0.25">
      <c r="A21" s="67"/>
      <c r="B21" s="45" t="s">
        <v>207</v>
      </c>
      <c r="C21" s="40"/>
      <c r="D21" s="44"/>
      <c r="E21" s="55"/>
      <c r="F21" s="133">
        <f>C21*E21</f>
        <v>0</v>
      </c>
      <c r="G21" s="133">
        <f>F21*$B$4*$B$5</f>
        <v>0</v>
      </c>
      <c r="H21" s="146"/>
      <c r="I21" s="146"/>
      <c r="J21" s="146"/>
      <c r="K21" s="147"/>
      <c r="M21" s="145"/>
      <c r="N21" s="170"/>
      <c r="O21" s="145"/>
      <c r="P21" s="145"/>
      <c r="Q21" s="145"/>
      <c r="R21" s="145"/>
      <c r="S21" s="145"/>
      <c r="T21" s="145"/>
      <c r="U21" s="145"/>
      <c r="V21" s="145"/>
      <c r="Y21" s="149"/>
      <c r="Z21" s="149"/>
      <c r="AA21" s="149"/>
      <c r="AB21" s="149"/>
      <c r="AC21" s="150"/>
      <c r="AD21" s="150"/>
      <c r="AE21" s="150"/>
      <c r="AF21" s="150"/>
      <c r="AG21" s="150"/>
      <c r="AH21" s="150"/>
      <c r="AI21" s="150"/>
      <c r="AJ21" s="150"/>
      <c r="AK21" s="150"/>
      <c r="AZ21" s="145"/>
    </row>
    <row r="22" spans="1:52" s="148" customFormat="1" x14ac:dyDescent="0.25">
      <c r="A22" s="171" t="s">
        <v>90</v>
      </c>
      <c r="B22" s="172"/>
      <c r="C22" s="173"/>
      <c r="D22" s="174"/>
      <c r="E22" s="175"/>
      <c r="F22" s="56">
        <f>SUM(F18:F21)</f>
        <v>0</v>
      </c>
      <c r="G22" s="56">
        <f>SUM(G18:G21)</f>
        <v>0</v>
      </c>
      <c r="H22" s="146"/>
      <c r="I22" s="146"/>
      <c r="J22" s="146"/>
      <c r="K22" s="147"/>
      <c r="M22" s="145"/>
      <c r="N22" s="170"/>
      <c r="O22" s="145"/>
      <c r="P22" s="145"/>
      <c r="Q22" s="145"/>
      <c r="R22" s="145"/>
      <c r="S22" s="145"/>
      <c r="T22" s="145"/>
      <c r="U22" s="145"/>
      <c r="V22" s="145"/>
      <c r="Y22" s="149"/>
      <c r="Z22" s="149"/>
      <c r="AA22" s="149"/>
      <c r="AB22" s="149"/>
      <c r="AC22" s="150"/>
      <c r="AD22" s="150"/>
      <c r="AE22" s="150"/>
      <c r="AF22" s="150"/>
      <c r="AG22" s="150"/>
      <c r="AH22" s="150"/>
      <c r="AI22" s="150"/>
      <c r="AJ22" s="150"/>
      <c r="AK22" s="150"/>
      <c r="AZ22" s="145"/>
    </row>
    <row r="23" spans="1:52" s="148" customFormat="1" x14ac:dyDescent="0.25">
      <c r="A23" s="176"/>
      <c r="B23" s="122"/>
      <c r="C23" s="177"/>
      <c r="D23" s="152"/>
      <c r="E23" s="178"/>
      <c r="F23" s="179"/>
      <c r="G23" s="145"/>
      <c r="H23" s="126"/>
      <c r="I23" s="147"/>
      <c r="J23" s="145"/>
      <c r="K23" s="145"/>
      <c r="L23" s="170"/>
      <c r="M23" s="145"/>
      <c r="N23" s="145"/>
      <c r="O23" s="145"/>
      <c r="P23" s="145"/>
      <c r="Q23" s="145"/>
      <c r="R23" s="145"/>
      <c r="S23" s="145"/>
      <c r="T23" s="145"/>
      <c r="W23" s="149"/>
      <c r="X23" s="149"/>
      <c r="Y23" s="149"/>
      <c r="Z23" s="149"/>
      <c r="AA23" s="150"/>
      <c r="AB23" s="150"/>
      <c r="AC23" s="150"/>
      <c r="AD23" s="150"/>
      <c r="AE23" s="150"/>
      <c r="AF23" s="150"/>
      <c r="AG23" s="150"/>
      <c r="AH23" s="150"/>
      <c r="AI23" s="150"/>
      <c r="AX23" s="145"/>
    </row>
    <row r="24" spans="1:52" s="148" customFormat="1" ht="27.6" x14ac:dyDescent="0.25">
      <c r="A24" s="166" t="s">
        <v>104</v>
      </c>
      <c r="B24" s="167" t="s">
        <v>6</v>
      </c>
      <c r="C24" s="168" t="s">
        <v>115</v>
      </c>
      <c r="D24" s="168" t="s">
        <v>20</v>
      </c>
      <c r="E24" s="168" t="s">
        <v>63</v>
      </c>
      <c r="F24" s="168" t="s">
        <v>117</v>
      </c>
      <c r="G24" s="169" t="s">
        <v>87</v>
      </c>
      <c r="H24" s="126"/>
      <c r="I24" s="147"/>
      <c r="J24" s="145"/>
      <c r="K24" s="145"/>
      <c r="L24" s="170"/>
      <c r="M24" s="145"/>
      <c r="N24" s="145"/>
      <c r="O24" s="145"/>
      <c r="P24" s="145"/>
      <c r="Q24" s="145"/>
      <c r="R24" s="145"/>
      <c r="S24" s="145"/>
      <c r="T24" s="145"/>
      <c r="W24" s="149"/>
      <c r="X24" s="149"/>
      <c r="Y24" s="149"/>
      <c r="Z24" s="149"/>
      <c r="AA24" s="150"/>
      <c r="AB24" s="150"/>
      <c r="AC24" s="150"/>
      <c r="AD24" s="150"/>
      <c r="AE24" s="150"/>
      <c r="AF24" s="150"/>
      <c r="AG24" s="150"/>
      <c r="AH24" s="150"/>
      <c r="AI24" s="150"/>
      <c r="AX24" s="145"/>
    </row>
    <row r="25" spans="1:52" s="148" customFormat="1" x14ac:dyDescent="0.25">
      <c r="A25" s="67" t="s">
        <v>122</v>
      </c>
      <c r="B25" s="45"/>
      <c r="C25" s="42">
        <v>0</v>
      </c>
      <c r="D25" s="37" t="s">
        <v>37</v>
      </c>
      <c r="E25" s="55">
        <v>0</v>
      </c>
      <c r="F25" s="133">
        <f>C25*E25</f>
        <v>0</v>
      </c>
      <c r="G25" s="133">
        <f>F25*$B$4*$B$5</f>
        <v>0</v>
      </c>
      <c r="H25" s="170"/>
      <c r="I25" s="147"/>
      <c r="J25" s="145"/>
      <c r="K25" s="145"/>
      <c r="L25" s="170"/>
      <c r="M25" s="145"/>
      <c r="N25" s="145"/>
      <c r="O25" s="145"/>
      <c r="P25" s="145"/>
      <c r="Q25" s="145"/>
      <c r="R25" s="145"/>
      <c r="S25" s="145"/>
      <c r="T25" s="145"/>
      <c r="W25" s="149"/>
      <c r="X25" s="149"/>
      <c r="Y25" s="149"/>
      <c r="Z25" s="149"/>
      <c r="AA25" s="150"/>
      <c r="AB25" s="150"/>
      <c r="AC25" s="150"/>
      <c r="AD25" s="150"/>
      <c r="AE25" s="150"/>
      <c r="AF25" s="150"/>
      <c r="AG25" s="150"/>
      <c r="AH25" s="150"/>
      <c r="AI25" s="150"/>
    </row>
    <row r="26" spans="1:52" s="148" customFormat="1" x14ac:dyDescent="0.25">
      <c r="A26" s="67" t="s">
        <v>123</v>
      </c>
      <c r="B26" s="45"/>
      <c r="C26" s="42">
        <v>0</v>
      </c>
      <c r="D26" s="37" t="s">
        <v>37</v>
      </c>
      <c r="E26" s="55">
        <v>0</v>
      </c>
      <c r="F26" s="133">
        <f t="shared" ref="F26:F37" si="0">C26*E26</f>
        <v>0</v>
      </c>
      <c r="G26" s="133">
        <f t="shared" ref="G26:G51" si="1">F26*$B$4*$B$5</f>
        <v>0</v>
      </c>
      <c r="H26" s="170"/>
      <c r="I26" s="147"/>
      <c r="J26" s="145"/>
      <c r="K26" s="145"/>
      <c r="L26" s="170"/>
      <c r="M26" s="145"/>
      <c r="N26" s="145"/>
      <c r="O26" s="145"/>
      <c r="P26" s="145"/>
      <c r="Q26" s="145"/>
      <c r="R26" s="145"/>
      <c r="S26" s="145"/>
      <c r="T26" s="145"/>
      <c r="W26" s="149"/>
      <c r="X26" s="149"/>
      <c r="Y26" s="149"/>
      <c r="Z26" s="149"/>
      <c r="AA26" s="150"/>
      <c r="AB26" s="150"/>
      <c r="AC26" s="150"/>
      <c r="AD26" s="150"/>
      <c r="AE26" s="150"/>
      <c r="AF26" s="150"/>
      <c r="AG26" s="150"/>
      <c r="AH26" s="150"/>
      <c r="AI26" s="150"/>
    </row>
    <row r="27" spans="1:52" s="148" customFormat="1" x14ac:dyDescent="0.25">
      <c r="A27" s="67" t="s">
        <v>133</v>
      </c>
      <c r="B27" s="45"/>
      <c r="C27" s="42">
        <v>0</v>
      </c>
      <c r="D27" s="37" t="s">
        <v>44</v>
      </c>
      <c r="E27" s="55">
        <v>0</v>
      </c>
      <c r="F27" s="133">
        <f t="shared" si="0"/>
        <v>0</v>
      </c>
      <c r="G27" s="133">
        <f t="shared" si="1"/>
        <v>0</v>
      </c>
      <c r="H27" s="170"/>
      <c r="I27" s="147"/>
      <c r="J27" s="145"/>
      <c r="K27" s="145"/>
      <c r="L27" s="170"/>
      <c r="M27" s="145"/>
      <c r="N27" s="145"/>
      <c r="O27" s="145"/>
      <c r="P27" s="145"/>
      <c r="Q27" s="145"/>
      <c r="R27" s="145"/>
      <c r="S27" s="145"/>
      <c r="T27" s="145"/>
      <c r="W27" s="149"/>
      <c r="X27" s="149"/>
      <c r="Y27" s="149"/>
      <c r="Z27" s="149"/>
      <c r="AA27" s="150"/>
      <c r="AB27" s="150"/>
      <c r="AC27" s="150"/>
      <c r="AD27" s="150"/>
      <c r="AE27" s="150"/>
      <c r="AF27" s="150"/>
      <c r="AG27" s="150"/>
      <c r="AH27" s="150"/>
      <c r="AI27" s="150"/>
    </row>
    <row r="28" spans="1:52" s="148" customFormat="1" x14ac:dyDescent="0.25">
      <c r="A28" s="67" t="s">
        <v>134</v>
      </c>
      <c r="B28" s="45"/>
      <c r="C28" s="42">
        <v>0</v>
      </c>
      <c r="D28" s="37" t="s">
        <v>44</v>
      </c>
      <c r="E28" s="55">
        <v>0</v>
      </c>
      <c r="F28" s="133">
        <f>C28*E28</f>
        <v>0</v>
      </c>
      <c r="G28" s="133">
        <f>F28*$B$4*$B$5</f>
        <v>0</v>
      </c>
      <c r="H28" s="170"/>
      <c r="I28" s="147"/>
      <c r="J28" s="145"/>
      <c r="K28" s="145"/>
      <c r="L28" s="170"/>
      <c r="M28" s="145"/>
      <c r="N28" s="145"/>
      <c r="O28" s="145"/>
      <c r="P28" s="145"/>
      <c r="Q28" s="145"/>
      <c r="R28" s="145"/>
      <c r="S28" s="145"/>
      <c r="T28" s="145"/>
      <c r="W28" s="149"/>
      <c r="X28" s="149"/>
      <c r="Y28" s="149"/>
      <c r="Z28" s="149"/>
      <c r="AA28" s="150"/>
      <c r="AB28" s="150"/>
      <c r="AC28" s="150"/>
      <c r="AD28" s="150"/>
      <c r="AE28" s="150"/>
      <c r="AF28" s="150"/>
      <c r="AG28" s="150"/>
      <c r="AH28" s="150"/>
      <c r="AI28" s="150"/>
    </row>
    <row r="29" spans="1:52" s="148" customFormat="1" x14ac:dyDescent="0.25">
      <c r="A29" s="67" t="s">
        <v>124</v>
      </c>
      <c r="B29" s="45"/>
      <c r="C29" s="42">
        <v>0</v>
      </c>
      <c r="D29" s="37" t="s">
        <v>35</v>
      </c>
      <c r="E29" s="55">
        <v>0</v>
      </c>
      <c r="F29" s="133">
        <f t="shared" si="0"/>
        <v>0</v>
      </c>
      <c r="G29" s="133">
        <f t="shared" si="1"/>
        <v>0</v>
      </c>
      <c r="H29" s="170"/>
      <c r="I29" s="147"/>
      <c r="J29" s="145"/>
      <c r="K29" s="145"/>
      <c r="L29" s="170"/>
      <c r="M29" s="145"/>
      <c r="N29" s="145"/>
      <c r="O29" s="145"/>
      <c r="P29" s="145"/>
      <c r="Q29" s="145"/>
      <c r="R29" s="145"/>
      <c r="S29" s="145"/>
      <c r="T29" s="145"/>
      <c r="W29" s="149"/>
      <c r="X29" s="149"/>
      <c r="Y29" s="149"/>
      <c r="Z29" s="149"/>
      <c r="AA29" s="150"/>
      <c r="AB29" s="150"/>
      <c r="AC29" s="150"/>
      <c r="AD29" s="150"/>
      <c r="AE29" s="150"/>
      <c r="AF29" s="150"/>
      <c r="AG29" s="150"/>
      <c r="AH29" s="150"/>
      <c r="AI29" s="150"/>
    </row>
    <row r="30" spans="1:52" s="148" customFormat="1" ht="27.6" x14ac:dyDescent="0.25">
      <c r="A30" s="67" t="s">
        <v>125</v>
      </c>
      <c r="B30" s="45"/>
      <c r="C30" s="42">
        <v>0</v>
      </c>
      <c r="D30" s="37" t="s">
        <v>44</v>
      </c>
      <c r="E30" s="55">
        <v>0</v>
      </c>
      <c r="F30" s="133">
        <f t="shared" si="0"/>
        <v>0</v>
      </c>
      <c r="G30" s="133">
        <f t="shared" si="1"/>
        <v>0</v>
      </c>
      <c r="H30" s="170"/>
      <c r="I30" s="147"/>
      <c r="J30" s="145"/>
      <c r="K30" s="145"/>
      <c r="L30" s="170"/>
      <c r="M30" s="145"/>
      <c r="N30" s="145"/>
      <c r="O30" s="145"/>
      <c r="P30" s="145"/>
      <c r="Q30" s="145"/>
      <c r="R30" s="145"/>
      <c r="S30" s="145"/>
      <c r="T30" s="145"/>
      <c r="W30" s="149"/>
      <c r="X30" s="149"/>
      <c r="Y30" s="149"/>
      <c r="Z30" s="149"/>
      <c r="AA30" s="150"/>
      <c r="AB30" s="150"/>
      <c r="AC30" s="150"/>
      <c r="AD30" s="150"/>
      <c r="AE30" s="150"/>
      <c r="AF30" s="150"/>
      <c r="AG30" s="150"/>
      <c r="AH30" s="150"/>
      <c r="AI30" s="150"/>
    </row>
    <row r="31" spans="1:52" s="148" customFormat="1" x14ac:dyDescent="0.25">
      <c r="A31" s="67" t="s">
        <v>47</v>
      </c>
      <c r="B31" s="45"/>
      <c r="C31" s="42">
        <v>0</v>
      </c>
      <c r="D31" s="37" t="s">
        <v>44</v>
      </c>
      <c r="E31" s="55">
        <v>0</v>
      </c>
      <c r="F31" s="133">
        <f t="shared" si="0"/>
        <v>0</v>
      </c>
      <c r="G31" s="133">
        <f t="shared" si="1"/>
        <v>0</v>
      </c>
      <c r="H31" s="170"/>
      <c r="I31" s="147"/>
      <c r="J31" s="145"/>
      <c r="K31" s="145"/>
      <c r="L31" s="170"/>
      <c r="M31" s="145"/>
      <c r="N31" s="145"/>
      <c r="O31" s="145"/>
      <c r="P31" s="145"/>
      <c r="Q31" s="145"/>
      <c r="R31" s="145"/>
      <c r="S31" s="145"/>
      <c r="T31" s="145"/>
      <c r="W31" s="149"/>
      <c r="X31" s="149"/>
      <c r="Y31" s="149"/>
      <c r="Z31" s="149"/>
      <c r="AA31" s="150"/>
      <c r="AB31" s="150"/>
      <c r="AC31" s="150"/>
      <c r="AD31" s="150"/>
      <c r="AE31" s="150"/>
      <c r="AF31" s="150"/>
      <c r="AG31" s="150"/>
      <c r="AH31" s="150"/>
      <c r="AI31" s="150"/>
    </row>
    <row r="32" spans="1:52" s="148" customFormat="1" x14ac:dyDescent="0.25">
      <c r="A32" s="67" t="s">
        <v>48</v>
      </c>
      <c r="B32" s="45"/>
      <c r="C32" s="42">
        <v>0</v>
      </c>
      <c r="D32" s="37" t="s">
        <v>49</v>
      </c>
      <c r="E32" s="55">
        <v>0</v>
      </c>
      <c r="F32" s="133">
        <f t="shared" si="0"/>
        <v>0</v>
      </c>
      <c r="G32" s="133">
        <f t="shared" si="1"/>
        <v>0</v>
      </c>
      <c r="H32" s="170"/>
      <c r="I32" s="147"/>
      <c r="J32" s="145"/>
      <c r="K32" s="145"/>
      <c r="L32" s="170"/>
      <c r="M32" s="145"/>
      <c r="N32" s="145"/>
      <c r="O32" s="145"/>
      <c r="P32" s="145"/>
      <c r="Q32" s="145"/>
      <c r="R32" s="145"/>
      <c r="S32" s="145"/>
      <c r="T32" s="145"/>
      <c r="W32" s="149"/>
      <c r="X32" s="149"/>
      <c r="Y32" s="149"/>
      <c r="Z32" s="149"/>
      <c r="AA32" s="150"/>
      <c r="AB32" s="150"/>
      <c r="AC32" s="150"/>
      <c r="AD32" s="150"/>
      <c r="AE32" s="150"/>
      <c r="AF32" s="150"/>
      <c r="AG32" s="150"/>
      <c r="AH32" s="150"/>
      <c r="AI32" s="150"/>
    </row>
    <row r="33" spans="1:36" s="148" customFormat="1" x14ac:dyDescent="0.25">
      <c r="A33" s="67" t="s">
        <v>126</v>
      </c>
      <c r="B33" s="45"/>
      <c r="C33" s="42">
        <v>0</v>
      </c>
      <c r="D33" s="37" t="s">
        <v>35</v>
      </c>
      <c r="E33" s="55">
        <v>0</v>
      </c>
      <c r="F33" s="133">
        <f>C33*E33</f>
        <v>0</v>
      </c>
      <c r="G33" s="133">
        <f>F33*$B$4*$B$5</f>
        <v>0</v>
      </c>
      <c r="H33" s="170"/>
      <c r="I33" s="147"/>
      <c r="J33" s="145"/>
      <c r="K33" s="145"/>
      <c r="L33" s="170"/>
      <c r="M33" s="145"/>
      <c r="N33" s="145"/>
      <c r="O33" s="145"/>
      <c r="P33" s="145"/>
      <c r="Q33" s="145"/>
      <c r="R33" s="145"/>
      <c r="S33" s="145"/>
      <c r="T33" s="145"/>
      <c r="W33" s="149"/>
      <c r="X33" s="149"/>
      <c r="Y33" s="149"/>
      <c r="Z33" s="149"/>
      <c r="AA33" s="150"/>
      <c r="AB33" s="150"/>
      <c r="AC33" s="150"/>
      <c r="AD33" s="150"/>
      <c r="AE33" s="150"/>
      <c r="AF33" s="150"/>
      <c r="AG33" s="150"/>
      <c r="AH33" s="150"/>
      <c r="AI33" s="150"/>
    </row>
    <row r="34" spans="1:36" s="148" customFormat="1" x14ac:dyDescent="0.25">
      <c r="A34" s="67" t="s">
        <v>50</v>
      </c>
      <c r="B34" s="45"/>
      <c r="C34" s="42">
        <v>0</v>
      </c>
      <c r="D34" s="37" t="s">
        <v>35</v>
      </c>
      <c r="E34" s="55">
        <v>0</v>
      </c>
      <c r="F34" s="133">
        <f>C34*E34</f>
        <v>0</v>
      </c>
      <c r="G34" s="133">
        <f>F34*$B$4*$B$5</f>
        <v>0</v>
      </c>
      <c r="H34" s="170"/>
      <c r="I34" s="147"/>
      <c r="J34" s="145"/>
      <c r="K34" s="145"/>
      <c r="L34" s="170"/>
      <c r="M34" s="145"/>
      <c r="N34" s="145"/>
      <c r="O34" s="145"/>
      <c r="P34" s="145"/>
      <c r="Q34" s="145"/>
      <c r="R34" s="145"/>
      <c r="S34" s="145"/>
      <c r="T34" s="145"/>
      <c r="W34" s="149"/>
      <c r="X34" s="149"/>
      <c r="Y34" s="149"/>
      <c r="Z34" s="149"/>
      <c r="AA34" s="150"/>
      <c r="AB34" s="150"/>
      <c r="AC34" s="150"/>
      <c r="AD34" s="150"/>
      <c r="AE34" s="150"/>
      <c r="AF34" s="150"/>
      <c r="AG34" s="150"/>
      <c r="AH34" s="150"/>
      <c r="AI34" s="150"/>
    </row>
    <row r="35" spans="1:36" s="148" customFormat="1" ht="27.6" x14ac:dyDescent="0.25">
      <c r="A35" s="67" t="s">
        <v>86</v>
      </c>
      <c r="B35" s="45"/>
      <c r="C35" s="42">
        <v>0</v>
      </c>
      <c r="D35" s="37" t="s">
        <v>35</v>
      </c>
      <c r="E35" s="55">
        <v>0</v>
      </c>
      <c r="F35" s="133">
        <f t="shared" si="0"/>
        <v>0</v>
      </c>
      <c r="G35" s="133">
        <f t="shared" si="1"/>
        <v>0</v>
      </c>
      <c r="H35" s="170"/>
      <c r="I35" s="147"/>
      <c r="J35" s="145"/>
      <c r="K35" s="145"/>
      <c r="L35" s="170"/>
      <c r="M35" s="145"/>
      <c r="N35" s="145"/>
      <c r="O35" s="145"/>
      <c r="P35" s="145"/>
      <c r="Q35" s="145"/>
      <c r="R35" s="145"/>
      <c r="S35" s="145"/>
      <c r="T35" s="145"/>
      <c r="W35" s="149"/>
      <c r="X35" s="149"/>
      <c r="Y35" s="149"/>
      <c r="Z35" s="149"/>
      <c r="AA35" s="150"/>
      <c r="AB35" s="150"/>
      <c r="AC35" s="150"/>
      <c r="AD35" s="150"/>
      <c r="AE35" s="150"/>
      <c r="AF35" s="150"/>
      <c r="AG35" s="150"/>
      <c r="AH35" s="150"/>
      <c r="AI35" s="150"/>
    </row>
    <row r="36" spans="1:36" s="148" customFormat="1" x14ac:dyDescent="0.25">
      <c r="A36" s="67" t="s">
        <v>156</v>
      </c>
      <c r="B36" s="45"/>
      <c r="C36" s="42">
        <v>0</v>
      </c>
      <c r="D36" s="37" t="s">
        <v>35</v>
      </c>
      <c r="E36" s="55">
        <v>0</v>
      </c>
      <c r="F36" s="133">
        <f t="shared" si="0"/>
        <v>0</v>
      </c>
      <c r="G36" s="133">
        <f t="shared" si="1"/>
        <v>0</v>
      </c>
      <c r="H36" s="170"/>
      <c r="I36" s="147"/>
      <c r="J36" s="145"/>
      <c r="K36" s="145"/>
      <c r="L36" s="170"/>
      <c r="M36" s="145"/>
      <c r="N36" s="145"/>
      <c r="O36" s="145"/>
      <c r="P36" s="145"/>
      <c r="Q36" s="145"/>
      <c r="R36" s="145"/>
      <c r="S36" s="145"/>
      <c r="T36" s="145"/>
      <c r="W36" s="149"/>
      <c r="X36" s="149"/>
      <c r="Y36" s="149"/>
      <c r="Z36" s="149"/>
      <c r="AA36" s="150"/>
      <c r="AB36" s="150"/>
      <c r="AC36" s="150"/>
      <c r="AD36" s="150"/>
      <c r="AE36" s="150"/>
      <c r="AF36" s="150"/>
      <c r="AG36" s="150"/>
      <c r="AH36" s="150"/>
      <c r="AI36" s="150"/>
    </row>
    <row r="37" spans="1:36" s="148" customFormat="1" x14ac:dyDescent="0.25">
      <c r="A37" s="67" t="s">
        <v>64</v>
      </c>
      <c r="B37" s="45"/>
      <c r="C37" s="42">
        <v>0</v>
      </c>
      <c r="D37" s="37" t="s">
        <v>35</v>
      </c>
      <c r="E37" s="55">
        <v>0</v>
      </c>
      <c r="F37" s="133">
        <f t="shared" si="0"/>
        <v>0</v>
      </c>
      <c r="G37" s="133">
        <f t="shared" si="1"/>
        <v>0</v>
      </c>
      <c r="H37" s="170"/>
      <c r="I37" s="147"/>
      <c r="J37" s="145"/>
      <c r="K37" s="145"/>
      <c r="L37" s="170"/>
      <c r="M37" s="145"/>
      <c r="N37" s="145"/>
      <c r="O37" s="145"/>
      <c r="P37" s="145"/>
      <c r="Q37" s="145"/>
      <c r="R37" s="145"/>
      <c r="S37" s="145"/>
      <c r="T37" s="145"/>
      <c r="W37" s="149"/>
      <c r="X37" s="149"/>
      <c r="Y37" s="149"/>
      <c r="Z37" s="149"/>
      <c r="AA37" s="150"/>
      <c r="AB37" s="150"/>
      <c r="AC37" s="150"/>
      <c r="AD37" s="150"/>
      <c r="AE37" s="150"/>
      <c r="AF37" s="150"/>
      <c r="AG37" s="150"/>
      <c r="AH37" s="150"/>
      <c r="AI37" s="150"/>
    </row>
    <row r="38" spans="1:36" s="148" customFormat="1" x14ac:dyDescent="0.25">
      <c r="A38" s="180"/>
      <c r="B38" s="181" t="s">
        <v>52</v>
      </c>
      <c r="C38" s="182"/>
      <c r="D38" s="181"/>
      <c r="E38" s="183"/>
      <c r="F38" s="56">
        <f>SUM(F25:F37)</f>
        <v>0</v>
      </c>
      <c r="G38" s="134">
        <f>F38*$B$4*$B$5</f>
        <v>0</v>
      </c>
      <c r="H38" s="170"/>
      <c r="I38" s="147"/>
      <c r="J38" s="145"/>
      <c r="K38" s="145"/>
      <c r="L38" s="170"/>
      <c r="M38" s="145"/>
      <c r="N38" s="145"/>
      <c r="O38" s="145"/>
      <c r="P38" s="145"/>
      <c r="Q38" s="145"/>
      <c r="R38" s="145"/>
      <c r="S38" s="145"/>
      <c r="T38" s="145"/>
      <c r="W38" s="149"/>
      <c r="X38" s="149"/>
      <c r="Y38" s="149"/>
      <c r="Z38" s="149"/>
      <c r="AA38" s="150"/>
      <c r="AB38" s="150"/>
      <c r="AC38" s="150"/>
      <c r="AD38" s="150"/>
      <c r="AE38" s="150"/>
      <c r="AF38" s="150"/>
      <c r="AG38" s="150"/>
      <c r="AH38" s="150"/>
      <c r="AI38" s="150"/>
    </row>
    <row r="39" spans="1:36" s="148" customFormat="1" x14ac:dyDescent="0.25">
      <c r="A39" s="125" t="s">
        <v>139</v>
      </c>
      <c r="B39" s="122"/>
      <c r="C39" s="41">
        <v>0</v>
      </c>
      <c r="D39" s="123" t="s">
        <v>62</v>
      </c>
      <c r="E39" s="136">
        <f>Investeringskalkyl!$F$66</f>
        <v>24775.125448028673</v>
      </c>
      <c r="F39" s="133">
        <f>C39/100*E39</f>
        <v>0</v>
      </c>
      <c r="G39" s="133">
        <f t="shared" si="1"/>
        <v>0</v>
      </c>
      <c r="H39" s="170"/>
      <c r="I39" s="147"/>
      <c r="J39" s="145"/>
      <c r="K39" s="145"/>
      <c r="L39" s="170"/>
      <c r="M39" s="145"/>
      <c r="N39" s="145"/>
      <c r="O39" s="145"/>
      <c r="P39" s="145"/>
      <c r="Q39" s="145"/>
      <c r="R39" s="145"/>
      <c r="S39" s="145"/>
      <c r="T39" s="145"/>
      <c r="W39" s="149"/>
      <c r="X39" s="149"/>
      <c r="Y39" s="149"/>
      <c r="Z39" s="149"/>
      <c r="AA39" s="150"/>
      <c r="AB39" s="150"/>
      <c r="AC39" s="150"/>
      <c r="AD39" s="150"/>
      <c r="AE39" s="150"/>
      <c r="AF39" s="150"/>
      <c r="AG39" s="150"/>
      <c r="AH39" s="150"/>
      <c r="AI39" s="150"/>
    </row>
    <row r="40" spans="1:36" s="148" customFormat="1" x14ac:dyDescent="0.25">
      <c r="A40" s="125" t="s">
        <v>53</v>
      </c>
      <c r="B40" s="184" t="s">
        <v>72</v>
      </c>
      <c r="C40" s="138">
        <f>($E$25+$E$26)/$B$5</f>
        <v>0</v>
      </c>
      <c r="D40" s="123" t="s">
        <v>35</v>
      </c>
      <c r="E40" s="137">
        <f>Investeringskalkyl!$B$23</f>
        <v>0.05</v>
      </c>
      <c r="F40" s="133">
        <f>C40*E40</f>
        <v>0</v>
      </c>
      <c r="G40" s="133">
        <f t="shared" si="1"/>
        <v>0</v>
      </c>
      <c r="H40" s="170"/>
      <c r="I40" s="147"/>
      <c r="J40" s="145"/>
      <c r="K40" s="145"/>
      <c r="L40" s="170"/>
      <c r="M40" s="145"/>
      <c r="N40" s="145"/>
      <c r="O40" s="145"/>
      <c r="P40" s="145"/>
      <c r="Q40" s="145"/>
      <c r="R40" s="145"/>
      <c r="S40" s="145"/>
      <c r="T40" s="145"/>
      <c r="W40" s="149"/>
      <c r="X40" s="149"/>
      <c r="Y40" s="149"/>
      <c r="Z40" s="149"/>
      <c r="AA40" s="150"/>
      <c r="AB40" s="150"/>
      <c r="AC40" s="150"/>
      <c r="AD40" s="150"/>
      <c r="AE40" s="150"/>
      <c r="AF40" s="150"/>
      <c r="AG40" s="150"/>
      <c r="AH40" s="150"/>
      <c r="AI40" s="150"/>
    </row>
    <row r="41" spans="1:36" s="148" customFormat="1" x14ac:dyDescent="0.25">
      <c r="A41" s="125" t="s">
        <v>128</v>
      </c>
      <c r="B41" s="184" t="s">
        <v>72</v>
      </c>
      <c r="C41" s="138">
        <f>(($F$38-$F$25-$F$26)+SUM(F45:F49))/2</f>
        <v>0</v>
      </c>
      <c r="D41" s="123" t="s">
        <v>35</v>
      </c>
      <c r="E41" s="137">
        <f>Investeringskalkyl!$B$23</f>
        <v>0.05</v>
      </c>
      <c r="F41" s="133">
        <f>C41*E41</f>
        <v>0</v>
      </c>
      <c r="G41" s="133">
        <f t="shared" si="1"/>
        <v>0</v>
      </c>
      <c r="H41" s="170"/>
      <c r="I41" s="170"/>
      <c r="J41" s="147"/>
      <c r="K41" s="145"/>
      <c r="L41" s="145"/>
      <c r="M41" s="170"/>
      <c r="N41" s="145"/>
      <c r="O41" s="145"/>
      <c r="P41" s="145"/>
      <c r="Q41" s="145"/>
      <c r="R41" s="145"/>
      <c r="S41" s="145"/>
      <c r="T41" s="145"/>
      <c r="U41" s="145"/>
      <c r="X41" s="149"/>
      <c r="Y41" s="149"/>
      <c r="Z41" s="149"/>
      <c r="AA41" s="149"/>
      <c r="AB41" s="150"/>
      <c r="AC41" s="150"/>
      <c r="AD41" s="150"/>
      <c r="AE41" s="150"/>
      <c r="AF41" s="150"/>
      <c r="AG41" s="150"/>
      <c r="AH41" s="150"/>
      <c r="AI41" s="150"/>
      <c r="AJ41" s="150"/>
    </row>
    <row r="42" spans="1:36" s="148" customFormat="1" x14ac:dyDescent="0.25">
      <c r="A42" s="67"/>
      <c r="B42" s="51"/>
      <c r="C42" s="42"/>
      <c r="D42" s="44"/>
      <c r="E42" s="86"/>
      <c r="F42" s="133">
        <f>C42*E42</f>
        <v>0</v>
      </c>
      <c r="G42" s="133">
        <f t="shared" si="1"/>
        <v>0</v>
      </c>
      <c r="H42" s="170"/>
      <c r="I42" s="147"/>
      <c r="J42" s="145"/>
      <c r="K42" s="145"/>
      <c r="L42" s="170"/>
      <c r="M42" s="145"/>
      <c r="N42" s="145"/>
      <c r="O42" s="145"/>
      <c r="P42" s="145"/>
      <c r="Q42" s="145"/>
      <c r="R42" s="145"/>
      <c r="S42" s="145"/>
      <c r="T42" s="145"/>
      <c r="W42" s="149"/>
      <c r="X42" s="149"/>
      <c r="Y42" s="149"/>
      <c r="Z42" s="149"/>
      <c r="AA42" s="150"/>
      <c r="AB42" s="150"/>
      <c r="AC42" s="150"/>
      <c r="AD42" s="150"/>
      <c r="AE42" s="150"/>
      <c r="AF42" s="150"/>
      <c r="AG42" s="150"/>
      <c r="AH42" s="150"/>
      <c r="AI42" s="150"/>
    </row>
    <row r="43" spans="1:36" s="148" customFormat="1" x14ac:dyDescent="0.25">
      <c r="A43" s="185"/>
      <c r="B43" s="181" t="s">
        <v>54</v>
      </c>
      <c r="C43" s="186" t="s">
        <v>34</v>
      </c>
      <c r="D43" s="181"/>
      <c r="E43" s="183" t="s">
        <v>34</v>
      </c>
      <c r="F43" s="56">
        <f>SUM(F39:F42)</f>
        <v>0</v>
      </c>
      <c r="G43" s="134">
        <f>F43*$B$4*$B$5</f>
        <v>0</v>
      </c>
      <c r="H43" s="170"/>
      <c r="I43" s="147"/>
      <c r="J43" s="145"/>
      <c r="K43" s="145"/>
      <c r="L43" s="170"/>
      <c r="M43" s="145"/>
      <c r="N43" s="145"/>
      <c r="O43" s="145"/>
      <c r="P43" s="145"/>
      <c r="Q43" s="145"/>
      <c r="R43" s="145"/>
      <c r="S43" s="145"/>
      <c r="T43" s="145"/>
      <c r="W43" s="149"/>
      <c r="X43" s="149"/>
      <c r="Y43" s="149"/>
      <c r="Z43" s="149"/>
      <c r="AA43" s="150"/>
      <c r="AB43" s="150"/>
      <c r="AC43" s="150"/>
      <c r="AD43" s="150"/>
      <c r="AE43" s="150"/>
      <c r="AF43" s="150"/>
      <c r="AG43" s="150"/>
      <c r="AH43" s="150"/>
      <c r="AI43" s="150"/>
    </row>
    <row r="44" spans="1:36" s="148" customFormat="1" x14ac:dyDescent="0.25">
      <c r="A44" s="125" t="s">
        <v>55</v>
      </c>
      <c r="B44" s="184" t="s">
        <v>72</v>
      </c>
      <c r="C44" s="126">
        <f>IF(Investeringskalkyl!$C$14="slaktgrisar",1,0)</f>
        <v>0</v>
      </c>
      <c r="D44" s="124" t="s">
        <v>35</v>
      </c>
      <c r="E44" s="139">
        <f>Investeringskalkyl!$F$67*(Investeringskalkyl!$B$23/(1-(1+Investeringskalkyl!$B$23)^(-Investeringskalkyl!$B$26)))/$B$5</f>
        <v>1972.5168308916927</v>
      </c>
      <c r="F44" s="133">
        <f t="shared" ref="F44:F49" si="2">C44*E44</f>
        <v>0</v>
      </c>
      <c r="G44" s="133">
        <f t="shared" si="1"/>
        <v>0</v>
      </c>
      <c r="H44" s="170"/>
      <c r="I44" s="147"/>
      <c r="J44" s="145"/>
      <c r="K44" s="145"/>
      <c r="L44" s="170"/>
      <c r="M44" s="145"/>
      <c r="N44" s="145"/>
      <c r="O44" s="145"/>
      <c r="P44" s="145"/>
      <c r="Q44" s="145"/>
      <c r="R44" s="145"/>
      <c r="S44" s="145"/>
      <c r="T44" s="145"/>
      <c r="W44" s="149"/>
      <c r="X44" s="149"/>
      <c r="Y44" s="149"/>
      <c r="Z44" s="149"/>
      <c r="AA44" s="150"/>
      <c r="AB44" s="150"/>
      <c r="AC44" s="150"/>
      <c r="AD44" s="150"/>
      <c r="AE44" s="150"/>
      <c r="AF44" s="150"/>
      <c r="AG44" s="150"/>
      <c r="AH44" s="150"/>
      <c r="AI44" s="150"/>
    </row>
    <row r="45" spans="1:36" s="148" customFormat="1" x14ac:dyDescent="0.25">
      <c r="A45" s="67" t="s">
        <v>67</v>
      </c>
      <c r="B45" s="45"/>
      <c r="C45" s="42">
        <v>1</v>
      </c>
      <c r="D45" s="37" t="s">
        <v>35</v>
      </c>
      <c r="E45" s="53">
        <v>0</v>
      </c>
      <c r="F45" s="133">
        <f t="shared" si="2"/>
        <v>0</v>
      </c>
      <c r="G45" s="133">
        <f t="shared" si="1"/>
        <v>0</v>
      </c>
      <c r="H45" s="170"/>
      <c r="I45" s="147"/>
      <c r="J45" s="145"/>
      <c r="K45" s="145"/>
      <c r="L45" s="170"/>
      <c r="M45" s="145"/>
      <c r="N45" s="145"/>
      <c r="O45" s="145"/>
      <c r="P45" s="145"/>
      <c r="Q45" s="145"/>
      <c r="R45" s="145"/>
      <c r="S45" s="145"/>
      <c r="T45" s="145"/>
      <c r="W45" s="149"/>
      <c r="X45" s="149"/>
      <c r="Y45" s="149"/>
      <c r="Z45" s="149"/>
      <c r="AA45" s="150"/>
      <c r="AB45" s="150"/>
      <c r="AC45" s="150"/>
      <c r="AD45" s="150"/>
      <c r="AE45" s="150"/>
      <c r="AF45" s="150"/>
      <c r="AG45" s="150"/>
      <c r="AH45" s="150"/>
      <c r="AI45" s="150"/>
    </row>
    <row r="46" spans="1:36" s="148" customFormat="1" x14ac:dyDescent="0.25">
      <c r="A46" s="67" t="s">
        <v>68</v>
      </c>
      <c r="B46" s="45"/>
      <c r="C46" s="42">
        <v>0</v>
      </c>
      <c r="D46" s="37" t="s">
        <v>35</v>
      </c>
      <c r="E46" s="54">
        <v>0</v>
      </c>
      <c r="F46" s="133">
        <f t="shared" si="2"/>
        <v>0</v>
      </c>
      <c r="G46" s="133">
        <f t="shared" si="1"/>
        <v>0</v>
      </c>
      <c r="H46" s="145"/>
      <c r="I46" s="147"/>
      <c r="J46" s="147"/>
      <c r="K46" s="145"/>
      <c r="L46" s="170"/>
      <c r="M46" s="145"/>
      <c r="N46" s="145"/>
      <c r="O46" s="145"/>
      <c r="P46" s="145"/>
      <c r="Q46" s="145"/>
      <c r="R46" s="145"/>
      <c r="S46" s="145"/>
      <c r="T46" s="145"/>
      <c r="W46" s="149"/>
      <c r="X46" s="149"/>
      <c r="Y46" s="149"/>
      <c r="Z46" s="149"/>
      <c r="AA46" s="150"/>
      <c r="AB46" s="150"/>
      <c r="AC46" s="150"/>
      <c r="AD46" s="150"/>
      <c r="AE46" s="150"/>
      <c r="AF46" s="150"/>
      <c r="AG46" s="150"/>
      <c r="AH46" s="150"/>
      <c r="AI46" s="150"/>
    </row>
    <row r="47" spans="1:36" s="148" customFormat="1" x14ac:dyDescent="0.25">
      <c r="A47" s="67" t="s">
        <v>61</v>
      </c>
      <c r="B47" s="52"/>
      <c r="C47" s="41">
        <v>0</v>
      </c>
      <c r="D47" s="37" t="s">
        <v>56</v>
      </c>
      <c r="E47" s="55">
        <v>220</v>
      </c>
      <c r="F47" s="133">
        <f t="shared" si="2"/>
        <v>0</v>
      </c>
      <c r="G47" s="133">
        <f t="shared" si="1"/>
        <v>0</v>
      </c>
      <c r="H47" s="170"/>
      <c r="I47" s="147"/>
      <c r="J47" s="145"/>
      <c r="K47" s="145"/>
      <c r="L47" s="170"/>
      <c r="M47" s="145"/>
      <c r="N47" s="145"/>
      <c r="O47" s="145"/>
      <c r="P47" s="145"/>
      <c r="Q47" s="145"/>
      <c r="R47" s="145"/>
      <c r="S47" s="145"/>
      <c r="T47" s="145"/>
      <c r="W47" s="149"/>
      <c r="X47" s="149"/>
      <c r="Y47" s="149"/>
      <c r="Z47" s="149"/>
      <c r="AA47" s="150"/>
      <c r="AB47" s="150"/>
      <c r="AC47" s="150"/>
      <c r="AD47" s="150"/>
      <c r="AE47" s="150"/>
      <c r="AF47" s="150"/>
      <c r="AG47" s="150"/>
      <c r="AH47" s="150"/>
      <c r="AI47" s="150"/>
    </row>
    <row r="48" spans="1:36" s="148" customFormat="1" x14ac:dyDescent="0.25">
      <c r="A48" s="67" t="s">
        <v>111</v>
      </c>
      <c r="B48" s="45"/>
      <c r="C48" s="42">
        <v>0</v>
      </c>
      <c r="D48" s="37" t="s">
        <v>56</v>
      </c>
      <c r="E48" s="55"/>
      <c r="F48" s="133">
        <f t="shared" si="2"/>
        <v>0</v>
      </c>
      <c r="G48" s="133">
        <f t="shared" si="1"/>
        <v>0</v>
      </c>
      <c r="H48" s="170"/>
      <c r="I48" s="147"/>
      <c r="J48" s="145"/>
      <c r="K48" s="145"/>
      <c r="L48" s="170"/>
      <c r="M48" s="145"/>
      <c r="N48" s="145"/>
      <c r="O48" s="145"/>
      <c r="P48" s="145"/>
      <c r="Q48" s="145"/>
      <c r="R48" s="145"/>
      <c r="S48" s="145"/>
      <c r="T48" s="145"/>
      <c r="W48" s="149"/>
      <c r="X48" s="149"/>
      <c r="Y48" s="149"/>
      <c r="Z48" s="149"/>
      <c r="AA48" s="150"/>
      <c r="AB48" s="150"/>
      <c r="AC48" s="150"/>
      <c r="AD48" s="150"/>
      <c r="AE48" s="150"/>
      <c r="AF48" s="150"/>
      <c r="AG48" s="150"/>
      <c r="AH48" s="150"/>
      <c r="AI48" s="150"/>
    </row>
    <row r="49" spans="1:37" s="148" customFormat="1" x14ac:dyDescent="0.25">
      <c r="A49" s="67"/>
      <c r="B49" s="45"/>
      <c r="C49" s="42"/>
      <c r="D49" s="37"/>
      <c r="E49" s="55"/>
      <c r="F49" s="133">
        <f t="shared" si="2"/>
        <v>0</v>
      </c>
      <c r="G49" s="133">
        <f t="shared" si="1"/>
        <v>0</v>
      </c>
      <c r="H49" s="170"/>
      <c r="I49" s="147"/>
      <c r="J49" s="145"/>
      <c r="K49" s="145"/>
      <c r="L49" s="170"/>
      <c r="M49" s="145"/>
      <c r="N49" s="145"/>
      <c r="O49" s="145"/>
      <c r="P49" s="145"/>
      <c r="Q49" s="145"/>
      <c r="R49" s="145"/>
      <c r="S49" s="145"/>
      <c r="T49" s="145"/>
      <c r="W49" s="149"/>
      <c r="X49" s="149"/>
      <c r="Y49" s="149"/>
      <c r="Z49" s="149"/>
      <c r="AA49" s="150"/>
      <c r="AB49" s="150"/>
      <c r="AC49" s="150"/>
      <c r="AD49" s="150"/>
      <c r="AE49" s="150"/>
      <c r="AF49" s="150"/>
      <c r="AG49" s="150"/>
      <c r="AH49" s="150"/>
      <c r="AI49" s="150"/>
    </row>
    <row r="50" spans="1:37" s="148" customFormat="1" x14ac:dyDescent="0.25">
      <c r="A50" s="187"/>
      <c r="B50" s="181" t="s">
        <v>57</v>
      </c>
      <c r="C50" s="182"/>
      <c r="D50" s="181"/>
      <c r="E50" s="188"/>
      <c r="F50" s="56">
        <f>SUM(F44:F49)</f>
        <v>0</v>
      </c>
      <c r="G50" s="134">
        <f>F50*$B$4*$B$5</f>
        <v>0</v>
      </c>
      <c r="H50" s="145"/>
      <c r="I50" s="147"/>
      <c r="J50" s="147"/>
      <c r="K50" s="145"/>
      <c r="L50" s="170"/>
      <c r="M50" s="145"/>
      <c r="N50" s="145"/>
      <c r="O50" s="145"/>
      <c r="P50" s="145"/>
      <c r="Q50" s="145"/>
      <c r="R50" s="145"/>
      <c r="S50" s="145"/>
      <c r="T50" s="145"/>
      <c r="W50" s="149"/>
      <c r="X50" s="149"/>
      <c r="Y50" s="149"/>
      <c r="Z50" s="149"/>
      <c r="AA50" s="150"/>
      <c r="AB50" s="150"/>
      <c r="AC50" s="150"/>
      <c r="AD50" s="150"/>
      <c r="AE50" s="150"/>
      <c r="AF50" s="150"/>
      <c r="AG50" s="150"/>
      <c r="AH50" s="150"/>
      <c r="AI50" s="150"/>
    </row>
    <row r="51" spans="1:37" s="148" customFormat="1" x14ac:dyDescent="0.25">
      <c r="A51" s="180" t="s">
        <v>73</v>
      </c>
      <c r="B51" s="181"/>
      <c r="C51" s="182"/>
      <c r="D51" s="181"/>
      <c r="E51" s="188"/>
      <c r="F51" s="56">
        <f>$F$38+$F$43+$F$50</f>
        <v>0</v>
      </c>
      <c r="G51" s="134">
        <f t="shared" si="1"/>
        <v>0</v>
      </c>
      <c r="H51" s="145"/>
      <c r="I51" s="147"/>
      <c r="J51" s="147"/>
      <c r="K51" s="145"/>
      <c r="L51" s="170"/>
      <c r="M51" s="145"/>
      <c r="N51" s="145"/>
      <c r="O51" s="145"/>
      <c r="P51" s="145"/>
      <c r="Q51" s="145"/>
      <c r="R51" s="145"/>
      <c r="S51" s="145"/>
      <c r="T51" s="145"/>
      <c r="W51" s="149"/>
      <c r="X51" s="149"/>
      <c r="Y51" s="149"/>
      <c r="Z51" s="149"/>
      <c r="AA51" s="150"/>
      <c r="AB51" s="150"/>
      <c r="AC51" s="150"/>
      <c r="AD51" s="150"/>
      <c r="AE51" s="150"/>
      <c r="AF51" s="150"/>
      <c r="AG51" s="150"/>
      <c r="AH51" s="150"/>
      <c r="AI51" s="150"/>
    </row>
    <row r="52" spans="1:37" s="148" customFormat="1" x14ac:dyDescent="0.25">
      <c r="A52" s="125"/>
      <c r="B52" s="145"/>
      <c r="C52" s="145"/>
      <c r="D52" s="145"/>
      <c r="E52" s="145"/>
      <c r="F52" s="135"/>
      <c r="G52" s="135"/>
      <c r="H52" s="145"/>
      <c r="I52" s="147"/>
      <c r="J52" s="147"/>
      <c r="K52" s="145"/>
      <c r="L52" s="170"/>
      <c r="M52" s="145"/>
      <c r="N52" s="145"/>
      <c r="O52" s="145"/>
      <c r="P52" s="145"/>
      <c r="Q52" s="145"/>
      <c r="R52" s="145"/>
      <c r="S52" s="145"/>
      <c r="T52" s="145"/>
      <c r="W52" s="149"/>
      <c r="X52" s="149"/>
      <c r="Y52" s="149"/>
      <c r="Z52" s="149"/>
      <c r="AA52" s="150"/>
      <c r="AB52" s="150"/>
      <c r="AC52" s="150"/>
      <c r="AD52" s="150"/>
      <c r="AE52" s="150"/>
      <c r="AF52" s="150"/>
      <c r="AG52" s="150"/>
      <c r="AH52" s="150"/>
      <c r="AI52" s="150"/>
    </row>
    <row r="53" spans="1:37" s="148" customFormat="1" x14ac:dyDescent="0.25">
      <c r="A53" s="189"/>
      <c r="C53" s="145"/>
      <c r="D53" s="145"/>
      <c r="E53" s="190"/>
      <c r="F53" s="126"/>
      <c r="G53" s="191"/>
      <c r="H53" s="192"/>
      <c r="I53" s="192"/>
      <c r="J53" s="145"/>
      <c r="K53" s="147"/>
      <c r="L53" s="147"/>
      <c r="M53" s="147"/>
      <c r="N53" s="170"/>
      <c r="O53" s="145"/>
      <c r="P53" s="145"/>
      <c r="Q53" s="145"/>
      <c r="R53" s="145"/>
      <c r="S53" s="145"/>
      <c r="T53" s="145"/>
      <c r="U53" s="145"/>
      <c r="V53" s="145"/>
      <c r="Y53" s="149"/>
      <c r="Z53" s="149"/>
      <c r="AA53" s="149"/>
      <c r="AB53" s="149"/>
      <c r="AC53" s="150"/>
      <c r="AD53" s="150"/>
      <c r="AE53" s="150"/>
      <c r="AF53" s="150"/>
      <c r="AG53" s="150"/>
      <c r="AH53" s="150"/>
      <c r="AI53" s="150"/>
      <c r="AJ53" s="150"/>
      <c r="AK53" s="150"/>
    </row>
    <row r="54" spans="1:37" s="148" customFormat="1" x14ac:dyDescent="0.25">
      <c r="A54" s="189"/>
      <c r="C54" s="145"/>
      <c r="D54" s="145"/>
      <c r="E54" s="190"/>
      <c r="G54" s="145"/>
      <c r="H54" s="193"/>
      <c r="I54" s="192"/>
      <c r="J54" s="145"/>
      <c r="K54" s="147"/>
      <c r="L54" s="147"/>
      <c r="M54" s="147"/>
      <c r="N54" s="170"/>
      <c r="O54" s="145"/>
      <c r="P54" s="145"/>
      <c r="Q54" s="145"/>
      <c r="R54" s="145"/>
      <c r="S54" s="145"/>
      <c r="T54" s="145"/>
      <c r="U54" s="145"/>
      <c r="V54" s="145"/>
      <c r="Y54" s="149"/>
      <c r="Z54" s="149"/>
      <c r="AA54" s="149"/>
      <c r="AB54" s="149"/>
      <c r="AC54" s="150"/>
      <c r="AD54" s="150"/>
      <c r="AE54" s="150"/>
      <c r="AF54" s="150"/>
      <c r="AG54" s="150"/>
      <c r="AH54" s="150"/>
      <c r="AI54" s="150"/>
      <c r="AJ54" s="150"/>
      <c r="AK54" s="150"/>
    </row>
    <row r="55" spans="1:37" s="148" customFormat="1" x14ac:dyDescent="0.25">
      <c r="A55" s="189"/>
      <c r="C55" s="145"/>
      <c r="D55" s="145"/>
      <c r="E55" s="190"/>
      <c r="G55" s="145"/>
      <c r="H55" s="193"/>
      <c r="I55" s="192"/>
      <c r="J55" s="145"/>
      <c r="K55" s="147"/>
      <c r="L55" s="147"/>
      <c r="M55" s="147"/>
      <c r="N55" s="170"/>
      <c r="O55" s="145"/>
      <c r="P55" s="145"/>
      <c r="Q55" s="145"/>
      <c r="R55" s="145"/>
      <c r="S55" s="145"/>
      <c r="T55" s="145"/>
      <c r="U55" s="145"/>
      <c r="V55" s="145"/>
      <c r="Y55" s="149"/>
      <c r="Z55" s="149"/>
      <c r="AA55" s="149"/>
      <c r="AB55" s="149"/>
      <c r="AC55" s="150"/>
      <c r="AD55" s="150"/>
      <c r="AE55" s="150"/>
      <c r="AF55" s="150"/>
      <c r="AG55" s="150"/>
      <c r="AH55" s="150"/>
      <c r="AI55" s="150"/>
      <c r="AJ55" s="150"/>
      <c r="AK55" s="150"/>
    </row>
    <row r="56" spans="1:37" s="148" customFormat="1" x14ac:dyDescent="0.25">
      <c r="A56" s="189"/>
      <c r="C56" s="145"/>
      <c r="D56" s="145"/>
      <c r="E56" s="190"/>
      <c r="G56" s="145"/>
      <c r="H56" s="192"/>
      <c r="I56" s="192"/>
      <c r="J56" s="145"/>
      <c r="K56" s="147"/>
      <c r="L56" s="147"/>
      <c r="M56" s="147"/>
      <c r="N56" s="170"/>
      <c r="O56" s="145"/>
      <c r="P56" s="145"/>
      <c r="Q56" s="145"/>
      <c r="R56" s="145"/>
      <c r="S56" s="145"/>
      <c r="T56" s="145"/>
      <c r="U56" s="145"/>
      <c r="V56" s="145"/>
      <c r="Y56" s="149"/>
      <c r="Z56" s="149"/>
      <c r="AA56" s="149"/>
      <c r="AB56" s="149"/>
      <c r="AC56" s="150"/>
      <c r="AD56" s="150"/>
      <c r="AE56" s="150"/>
      <c r="AF56" s="150"/>
      <c r="AG56" s="150"/>
      <c r="AH56" s="150"/>
      <c r="AI56" s="150"/>
      <c r="AJ56" s="150"/>
      <c r="AK56" s="150"/>
    </row>
    <row r="57" spans="1:37" s="148" customFormat="1" x14ac:dyDescent="0.25">
      <c r="A57" s="189"/>
      <c r="C57" s="145"/>
      <c r="D57" s="145"/>
      <c r="E57" s="190"/>
      <c r="G57" s="190"/>
      <c r="H57" s="192"/>
      <c r="I57" s="192"/>
      <c r="J57" s="145"/>
      <c r="K57" s="147"/>
      <c r="L57" s="147"/>
      <c r="M57" s="147"/>
      <c r="N57" s="170"/>
      <c r="O57" s="145"/>
      <c r="P57" s="145"/>
      <c r="Q57" s="145"/>
      <c r="R57" s="145"/>
      <c r="S57" s="145"/>
      <c r="T57" s="145"/>
      <c r="U57" s="145"/>
      <c r="V57" s="145"/>
      <c r="Y57" s="149"/>
      <c r="Z57" s="149"/>
      <c r="AA57" s="149"/>
      <c r="AB57" s="149"/>
      <c r="AC57" s="150"/>
      <c r="AD57" s="150"/>
      <c r="AE57" s="150"/>
      <c r="AF57" s="150"/>
      <c r="AG57" s="150"/>
      <c r="AH57" s="150"/>
      <c r="AI57" s="150"/>
      <c r="AJ57" s="150"/>
      <c r="AK57" s="150"/>
    </row>
    <row r="58" spans="1:37" s="148" customFormat="1" x14ac:dyDescent="0.25">
      <c r="A58" s="189"/>
      <c r="C58" s="145"/>
      <c r="D58" s="145"/>
      <c r="E58" s="190"/>
      <c r="G58" s="190"/>
      <c r="H58" s="147"/>
      <c r="I58" s="147"/>
      <c r="J58" s="170"/>
      <c r="K58" s="145"/>
      <c r="L58" s="145"/>
      <c r="M58" s="145"/>
      <c r="N58" s="145"/>
      <c r="O58" s="145"/>
      <c r="P58" s="145"/>
      <c r="Q58" s="145"/>
      <c r="R58" s="145"/>
      <c r="U58" s="149"/>
      <c r="V58" s="149"/>
      <c r="W58" s="149"/>
      <c r="X58" s="149"/>
      <c r="Y58" s="150"/>
      <c r="Z58" s="150"/>
      <c r="AA58" s="150"/>
      <c r="AB58" s="150"/>
      <c r="AC58" s="150"/>
      <c r="AD58" s="150"/>
      <c r="AE58" s="150"/>
      <c r="AF58" s="150"/>
      <c r="AG58" s="150"/>
    </row>
    <row r="59" spans="1:37" s="148" customFormat="1" x14ac:dyDescent="0.25">
      <c r="A59" s="189"/>
      <c r="C59" s="145"/>
      <c r="D59" s="145"/>
      <c r="E59" s="190"/>
      <c r="G59" s="190"/>
      <c r="H59" s="147"/>
      <c r="I59" s="147"/>
      <c r="J59" s="170"/>
      <c r="K59" s="145"/>
      <c r="L59" s="145"/>
      <c r="M59" s="145"/>
      <c r="N59" s="145"/>
      <c r="O59" s="145"/>
      <c r="P59" s="145"/>
      <c r="Q59" s="145"/>
      <c r="R59" s="145"/>
      <c r="U59" s="149"/>
      <c r="V59" s="149"/>
      <c r="W59" s="149"/>
      <c r="X59" s="149"/>
      <c r="Y59" s="150"/>
      <c r="Z59" s="150"/>
      <c r="AA59" s="150"/>
      <c r="AB59" s="150"/>
      <c r="AC59" s="150"/>
      <c r="AD59" s="150"/>
      <c r="AE59" s="150"/>
      <c r="AF59" s="150"/>
      <c r="AG59" s="150"/>
    </row>
    <row r="60" spans="1:37" s="148" customFormat="1" x14ac:dyDescent="0.25">
      <c r="C60" s="145"/>
      <c r="D60" s="145"/>
      <c r="E60" s="190"/>
      <c r="G60" s="190"/>
      <c r="H60" s="147"/>
      <c r="I60" s="147"/>
      <c r="J60" s="170"/>
      <c r="K60" s="145"/>
      <c r="L60" s="145"/>
      <c r="M60" s="145"/>
      <c r="N60" s="145"/>
      <c r="O60" s="145"/>
      <c r="P60" s="145"/>
      <c r="Q60" s="145"/>
      <c r="R60" s="145"/>
      <c r="U60" s="149"/>
      <c r="V60" s="149"/>
      <c r="W60" s="149"/>
      <c r="X60" s="149"/>
      <c r="Y60" s="150"/>
      <c r="Z60" s="150"/>
      <c r="AA60" s="150"/>
      <c r="AB60" s="150"/>
      <c r="AC60" s="150"/>
      <c r="AD60" s="150"/>
      <c r="AE60" s="150"/>
      <c r="AF60" s="150"/>
      <c r="AG60" s="150"/>
    </row>
    <row r="61" spans="1:37" s="148" customFormat="1" x14ac:dyDescent="0.25">
      <c r="C61" s="145"/>
      <c r="D61" s="145"/>
      <c r="E61" s="190"/>
      <c r="G61" s="190"/>
      <c r="H61" s="147"/>
      <c r="I61" s="147"/>
      <c r="J61" s="170"/>
      <c r="K61" s="145"/>
      <c r="L61" s="145"/>
      <c r="M61" s="145"/>
      <c r="N61" s="145"/>
      <c r="O61" s="145"/>
      <c r="P61" s="145"/>
      <c r="Q61" s="145"/>
      <c r="R61" s="145"/>
      <c r="U61" s="149"/>
      <c r="V61" s="149"/>
      <c r="W61" s="149"/>
      <c r="X61" s="149"/>
      <c r="Y61" s="150"/>
      <c r="Z61" s="150"/>
      <c r="AA61" s="150"/>
      <c r="AB61" s="150"/>
      <c r="AC61" s="150"/>
      <c r="AD61" s="150"/>
    </row>
    <row r="62" spans="1:37" s="148" customFormat="1" x14ac:dyDescent="0.25">
      <c r="C62" s="145"/>
      <c r="D62" s="145"/>
      <c r="E62" s="190"/>
      <c r="G62" s="190"/>
      <c r="H62" s="147"/>
      <c r="I62" s="147"/>
      <c r="J62" s="170"/>
      <c r="K62" s="145"/>
      <c r="L62" s="145"/>
      <c r="M62" s="145"/>
      <c r="N62" s="145"/>
      <c r="O62" s="145"/>
      <c r="P62" s="145"/>
      <c r="Q62" s="145"/>
      <c r="R62" s="145"/>
      <c r="U62" s="149"/>
      <c r="V62" s="149"/>
      <c r="W62" s="149"/>
      <c r="X62" s="149"/>
      <c r="Y62" s="150"/>
      <c r="Z62" s="150"/>
      <c r="AA62" s="150"/>
      <c r="AB62" s="150"/>
      <c r="AC62" s="150"/>
      <c r="AD62" s="150"/>
    </row>
    <row r="63" spans="1:37" s="148" customFormat="1" x14ac:dyDescent="0.25">
      <c r="C63" s="145"/>
      <c r="D63" s="145"/>
      <c r="E63" s="190"/>
      <c r="G63" s="145"/>
      <c r="H63" s="147"/>
      <c r="I63" s="147"/>
      <c r="J63" s="170"/>
      <c r="K63" s="145"/>
      <c r="L63" s="145"/>
      <c r="M63" s="145"/>
      <c r="N63" s="145"/>
      <c r="O63" s="145"/>
      <c r="P63" s="145"/>
      <c r="Q63" s="145"/>
      <c r="R63" s="145"/>
      <c r="U63" s="149"/>
      <c r="V63" s="149"/>
      <c r="W63" s="149"/>
      <c r="X63" s="149"/>
      <c r="Y63" s="150"/>
      <c r="Z63" s="150"/>
      <c r="AA63" s="150"/>
      <c r="AB63" s="150"/>
      <c r="AC63" s="150"/>
      <c r="AD63" s="150"/>
    </row>
    <row r="64" spans="1:37" x14ac:dyDescent="0.25">
      <c r="C64" s="145"/>
      <c r="D64" s="145"/>
      <c r="E64" s="190"/>
      <c r="F64" s="148"/>
      <c r="G64" s="145"/>
    </row>
    <row r="65" spans="2:7" x14ac:dyDescent="0.25">
      <c r="C65" s="145"/>
      <c r="D65" s="145"/>
      <c r="E65" s="190"/>
      <c r="F65" s="148"/>
      <c r="G65" s="145"/>
    </row>
    <row r="66" spans="2:7" x14ac:dyDescent="0.25">
      <c r="B66" s="194"/>
    </row>
    <row r="67" spans="2:7" x14ac:dyDescent="0.25">
      <c r="B67" s="194"/>
    </row>
    <row r="68" spans="2:7" x14ac:dyDescent="0.25">
      <c r="B68" s="194"/>
    </row>
  </sheetData>
  <sheetProtection sheet="1" objects="1" scenarios="1"/>
  <mergeCells count="1">
    <mergeCell ref="A11:B1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A74"/>
  <sheetViews>
    <sheetView topLeftCell="A16" zoomScale="106" zoomScaleNormal="106" workbookViewId="0">
      <selection activeCell="E10" sqref="E10:E11"/>
    </sheetView>
  </sheetViews>
  <sheetFormatPr defaultColWidth="9.109375" defaultRowHeight="13.8" x14ac:dyDescent="0.25"/>
  <cols>
    <col min="1" max="1" width="33.44140625" style="146" customWidth="1"/>
    <col min="2" max="2" width="14.109375" style="146" customWidth="1"/>
    <col min="3" max="3" width="13.109375" style="146" bestFit="1" customWidth="1"/>
    <col min="4" max="4" width="9.109375" style="146" customWidth="1"/>
    <col min="5" max="5" width="15.33203125" style="146" customWidth="1"/>
    <col min="6" max="6" width="14.44140625" style="146" bestFit="1" customWidth="1"/>
    <col min="7" max="7" width="14.88671875" style="146" customWidth="1"/>
    <col min="8" max="8" width="14.44140625" style="146" bestFit="1" customWidth="1"/>
    <col min="9" max="9" width="9.109375" style="146"/>
    <col min="10" max="10" width="9.5546875" style="146" bestFit="1" customWidth="1"/>
    <col min="11" max="16384" width="9.109375" style="146"/>
  </cols>
  <sheetData>
    <row r="1" spans="1:38" ht="27.6" x14ac:dyDescent="0.45">
      <c r="A1" s="154" t="s">
        <v>141</v>
      </c>
    </row>
    <row r="2" spans="1:38" ht="14.4" thickBot="1" x14ac:dyDescent="0.3"/>
    <row r="3" spans="1:38" x14ac:dyDescent="0.25">
      <c r="A3" s="155" t="s">
        <v>60</v>
      </c>
      <c r="B3" s="156"/>
      <c r="C3" s="157"/>
    </row>
    <row r="4" spans="1:38" x14ac:dyDescent="0.25">
      <c r="A4" s="128" t="s">
        <v>21</v>
      </c>
      <c r="B4" s="158">
        <f>IF(Investeringskalkyl!$C$14="tackor",Investeringskalkyl!$B$14,0)</f>
        <v>0</v>
      </c>
      <c r="C4" s="159" t="s">
        <v>30</v>
      </c>
      <c r="D4" s="160"/>
    </row>
    <row r="5" spans="1:38" ht="15.75" customHeight="1" thickBot="1" x14ac:dyDescent="0.3">
      <c r="A5" s="200" t="s">
        <v>143</v>
      </c>
      <c r="B5" s="207">
        <v>1</v>
      </c>
      <c r="C5" s="162" t="s">
        <v>211</v>
      </c>
      <c r="D5" s="160"/>
    </row>
    <row r="6" spans="1:38" ht="14.4" thickBot="1" x14ac:dyDescent="0.3">
      <c r="A6" s="201"/>
    </row>
    <row r="7" spans="1:38" x14ac:dyDescent="0.25">
      <c r="A7" s="141" t="s">
        <v>66</v>
      </c>
      <c r="B7" s="142"/>
    </row>
    <row r="8" spans="1:38" ht="14.4" thickBot="1" x14ac:dyDescent="0.3">
      <c r="A8" s="127" t="s">
        <v>137</v>
      </c>
      <c r="B8" s="90">
        <f>$B$14*$B$4</f>
        <v>0</v>
      </c>
    </row>
    <row r="9" spans="1:38" x14ac:dyDescent="0.25">
      <c r="A9" s="128" t="s">
        <v>138</v>
      </c>
      <c r="B9" s="229" t="e">
        <f>$B$8/$H$28</f>
        <v>#DIV/0!</v>
      </c>
    </row>
    <row r="10" spans="1:38" ht="14.4" thickBot="1" x14ac:dyDescent="0.3">
      <c r="A10" s="130" t="s">
        <v>155</v>
      </c>
      <c r="B10" s="131">
        <f>$H$53+$H$54</f>
        <v>0</v>
      </c>
    </row>
    <row r="11" spans="1:38" x14ac:dyDescent="0.25">
      <c r="A11" s="141" t="s">
        <v>154</v>
      </c>
      <c r="B11" s="202"/>
    </row>
    <row r="12" spans="1:38" ht="18.75" customHeight="1" x14ac:dyDescent="0.25">
      <c r="A12" s="132" t="s">
        <v>91</v>
      </c>
      <c r="B12" s="89">
        <f>$F$28-$F$44</f>
        <v>0</v>
      </c>
    </row>
    <row r="13" spans="1:38" x14ac:dyDescent="0.25">
      <c r="A13" s="132" t="s">
        <v>92</v>
      </c>
      <c r="B13" s="89">
        <f>$F$28-$F$44-$F$49</f>
        <v>0</v>
      </c>
    </row>
    <row r="14" spans="1:38" ht="14.4" thickBot="1" x14ac:dyDescent="0.3">
      <c r="A14" s="127" t="s">
        <v>93</v>
      </c>
      <c r="B14" s="90">
        <f>$F$28-$F$44-$F49-$F$56</f>
        <v>0</v>
      </c>
    </row>
    <row r="15" spans="1:38" s="148" customFormat="1" ht="12.15" customHeight="1" x14ac:dyDescent="0.25">
      <c r="A15" s="125"/>
      <c r="B15" s="123"/>
      <c r="C15" s="143"/>
      <c r="D15" s="143"/>
      <c r="E15" s="144"/>
      <c r="F15" s="144"/>
      <c r="G15" s="146"/>
      <c r="H15" s="145"/>
      <c r="I15" s="146"/>
      <c r="J15" s="146"/>
      <c r="K15" s="146"/>
      <c r="L15" s="147"/>
      <c r="N15" s="145"/>
      <c r="O15" s="145"/>
      <c r="P15" s="145"/>
      <c r="Q15" s="145"/>
      <c r="R15" s="145"/>
      <c r="S15" s="145"/>
      <c r="T15" s="145"/>
      <c r="U15" s="145"/>
      <c r="V15" s="145"/>
      <c r="W15" s="145"/>
      <c r="Z15" s="149"/>
      <c r="AA15" s="149"/>
      <c r="AB15" s="149"/>
      <c r="AC15" s="149"/>
      <c r="AD15" s="150"/>
      <c r="AE15" s="150"/>
      <c r="AF15" s="150"/>
      <c r="AG15" s="150"/>
      <c r="AH15" s="150"/>
      <c r="AI15" s="150"/>
      <c r="AJ15" s="150"/>
      <c r="AK15" s="150"/>
      <c r="AL15" s="150"/>
    </row>
    <row r="16" spans="1:38" s="148" customFormat="1" ht="12.15" customHeight="1" x14ac:dyDescent="0.25">
      <c r="A16" s="151"/>
      <c r="B16" s="152"/>
      <c r="C16" s="153"/>
      <c r="D16" s="153"/>
      <c r="E16" s="153"/>
      <c r="F16" s="153"/>
      <c r="G16" s="146"/>
      <c r="H16" s="145"/>
      <c r="I16" s="146"/>
      <c r="J16" s="146"/>
      <c r="K16" s="146"/>
      <c r="L16" s="147"/>
      <c r="N16" s="145"/>
      <c r="O16" s="145"/>
      <c r="P16" s="145"/>
      <c r="Q16" s="145"/>
      <c r="R16" s="145"/>
      <c r="S16" s="145"/>
      <c r="T16" s="145"/>
      <c r="U16" s="145"/>
      <c r="V16" s="145"/>
      <c r="W16" s="145"/>
      <c r="Z16" s="149"/>
      <c r="AA16" s="149"/>
      <c r="AB16" s="149"/>
      <c r="AC16" s="149"/>
      <c r="AD16" s="150"/>
      <c r="AE16" s="150"/>
      <c r="AF16" s="150"/>
      <c r="AG16" s="150"/>
      <c r="AH16" s="150"/>
      <c r="AI16" s="150"/>
      <c r="AJ16" s="150"/>
      <c r="AK16" s="150"/>
      <c r="AL16" s="150"/>
    </row>
    <row r="17" spans="1:53" s="148" customFormat="1" ht="27.6" x14ac:dyDescent="0.25">
      <c r="A17" s="166" t="s">
        <v>103</v>
      </c>
      <c r="B17" s="167" t="s">
        <v>6</v>
      </c>
      <c r="C17" s="168" t="s">
        <v>146</v>
      </c>
      <c r="D17" s="168" t="s">
        <v>20</v>
      </c>
      <c r="E17" s="168" t="s">
        <v>63</v>
      </c>
      <c r="F17" s="168" t="s">
        <v>147</v>
      </c>
      <c r="G17" s="169" t="s">
        <v>148</v>
      </c>
      <c r="H17" s="169" t="s">
        <v>87</v>
      </c>
      <c r="I17" s="146"/>
      <c r="J17" s="146"/>
      <c r="K17" s="146"/>
      <c r="L17" s="147"/>
      <c r="N17" s="145"/>
      <c r="O17" s="145"/>
      <c r="P17" s="145"/>
      <c r="Q17" s="145"/>
      <c r="R17" s="145"/>
      <c r="S17" s="145"/>
      <c r="T17" s="145"/>
      <c r="U17" s="145"/>
      <c r="V17" s="145"/>
      <c r="W17" s="145"/>
      <c r="Z17" s="149"/>
      <c r="AA17" s="149"/>
      <c r="AB17" s="149"/>
      <c r="AC17" s="149"/>
      <c r="AD17" s="150"/>
      <c r="AE17" s="150"/>
      <c r="AF17" s="150"/>
      <c r="AG17" s="150"/>
      <c r="AH17" s="150"/>
      <c r="AI17" s="150"/>
      <c r="AJ17" s="150"/>
      <c r="AK17" s="150"/>
      <c r="AL17" s="150"/>
    </row>
    <row r="18" spans="1:53" s="148" customFormat="1" x14ac:dyDescent="0.25">
      <c r="A18" s="125" t="s">
        <v>144</v>
      </c>
      <c r="B18" s="45">
        <v>1</v>
      </c>
      <c r="C18" s="203">
        <f>+B5</f>
        <v>1</v>
      </c>
      <c r="D18" s="37" t="s">
        <v>37</v>
      </c>
      <c r="E18" s="55">
        <v>0</v>
      </c>
      <c r="F18" s="133">
        <f t="shared" ref="F18:F26" si="0">C18*E18</f>
        <v>0</v>
      </c>
      <c r="G18" s="139">
        <f t="shared" ref="G18:G26" si="1">F18/$B$5</f>
        <v>0</v>
      </c>
      <c r="H18" s="133">
        <f t="shared" ref="H18:H26" si="2">F18*$B$4</f>
        <v>0</v>
      </c>
      <c r="I18" s="146"/>
      <c r="J18" s="146"/>
      <c r="K18" s="146"/>
      <c r="L18" s="147"/>
      <c r="N18" s="145"/>
      <c r="O18" s="170"/>
      <c r="P18" s="145"/>
      <c r="Q18" s="145"/>
      <c r="R18" s="145"/>
      <c r="S18" s="145"/>
      <c r="T18" s="145"/>
      <c r="U18" s="145"/>
      <c r="V18" s="145"/>
      <c r="W18" s="145"/>
      <c r="Z18" s="149"/>
      <c r="AA18" s="149"/>
      <c r="AB18" s="149"/>
      <c r="AC18" s="149"/>
      <c r="AD18" s="150"/>
      <c r="AE18" s="150"/>
      <c r="AF18" s="150"/>
      <c r="AG18" s="150"/>
      <c r="AH18" s="150"/>
      <c r="AI18" s="150"/>
      <c r="AJ18" s="150"/>
      <c r="AK18" s="150"/>
      <c r="AL18" s="150"/>
    </row>
    <row r="19" spans="1:53" s="148" customFormat="1" x14ac:dyDescent="0.25">
      <c r="A19" s="125" t="s">
        <v>149</v>
      </c>
      <c r="B19" s="45">
        <v>2</v>
      </c>
      <c r="C19" s="203">
        <f>+B5</f>
        <v>1</v>
      </c>
      <c r="D19" s="37" t="s">
        <v>37</v>
      </c>
      <c r="E19" s="55">
        <v>0</v>
      </c>
      <c r="F19" s="133">
        <f t="shared" si="0"/>
        <v>0</v>
      </c>
      <c r="G19" s="139">
        <f>F19/$B$5</f>
        <v>0</v>
      </c>
      <c r="H19" s="133">
        <f>F19*$B$4</f>
        <v>0</v>
      </c>
      <c r="I19" s="146"/>
      <c r="J19" s="146"/>
      <c r="K19" s="146"/>
      <c r="L19" s="147"/>
      <c r="N19" s="145"/>
      <c r="O19" s="170"/>
      <c r="P19" s="145"/>
      <c r="Q19" s="145"/>
      <c r="R19" s="145"/>
      <c r="S19" s="145"/>
      <c r="T19" s="145"/>
      <c r="U19" s="145"/>
      <c r="V19" s="145"/>
      <c r="W19" s="145"/>
      <c r="Z19" s="149"/>
      <c r="AA19" s="149"/>
      <c r="AB19" s="149"/>
      <c r="AC19" s="149"/>
      <c r="AD19" s="150"/>
      <c r="AE19" s="150"/>
      <c r="AF19" s="150"/>
      <c r="AG19" s="150"/>
      <c r="AH19" s="150"/>
      <c r="AI19" s="150"/>
      <c r="AJ19" s="150"/>
      <c r="AK19" s="150"/>
      <c r="AL19" s="150"/>
    </row>
    <row r="20" spans="1:53" s="148" customFormat="1" x14ac:dyDescent="0.25">
      <c r="A20" s="125" t="s">
        <v>150</v>
      </c>
      <c r="B20" s="45">
        <v>3</v>
      </c>
      <c r="C20" s="41">
        <v>0</v>
      </c>
      <c r="D20" s="44" t="s">
        <v>37</v>
      </c>
      <c r="E20" s="55">
        <v>0</v>
      </c>
      <c r="F20" s="133">
        <f t="shared" si="0"/>
        <v>0</v>
      </c>
      <c r="G20" s="139">
        <f>F20/$B$5</f>
        <v>0</v>
      </c>
      <c r="H20" s="133">
        <f>F20*$B$4</f>
        <v>0</v>
      </c>
      <c r="I20" s="146"/>
      <c r="J20" s="146"/>
      <c r="K20" s="146"/>
      <c r="L20" s="147"/>
      <c r="N20" s="145"/>
      <c r="O20" s="170"/>
      <c r="P20" s="145"/>
      <c r="Q20" s="145"/>
      <c r="R20" s="145"/>
      <c r="S20" s="145"/>
      <c r="T20" s="145"/>
      <c r="U20" s="145"/>
      <c r="V20" s="145"/>
      <c r="W20" s="190"/>
      <c r="Z20" s="149"/>
      <c r="AA20" s="149"/>
      <c r="AB20" s="149"/>
      <c r="AC20" s="149"/>
      <c r="AD20" s="150"/>
      <c r="AE20" s="150"/>
      <c r="AF20" s="150"/>
      <c r="AG20" s="150"/>
      <c r="AH20" s="150"/>
      <c r="AI20" s="150"/>
      <c r="AJ20" s="150"/>
      <c r="AK20" s="150"/>
      <c r="AL20" s="150"/>
    </row>
    <row r="21" spans="1:53" s="148" customFormat="1" x14ac:dyDescent="0.25">
      <c r="A21" s="125" t="s">
        <v>151</v>
      </c>
      <c r="B21" s="45" t="s">
        <v>207</v>
      </c>
      <c r="C21" s="41">
        <v>0</v>
      </c>
      <c r="D21" s="44" t="s">
        <v>44</v>
      </c>
      <c r="E21" s="55">
        <v>0</v>
      </c>
      <c r="F21" s="133">
        <f t="shared" si="0"/>
        <v>0</v>
      </c>
      <c r="G21" s="139">
        <f>F21/$B$5</f>
        <v>0</v>
      </c>
      <c r="H21" s="133">
        <f>F21*$B$4</f>
        <v>0</v>
      </c>
      <c r="I21" s="146"/>
      <c r="J21" s="146"/>
      <c r="K21" s="146"/>
      <c r="L21" s="147"/>
      <c r="N21" s="145"/>
      <c r="O21" s="170"/>
      <c r="P21" s="145"/>
      <c r="Q21" s="145"/>
      <c r="R21" s="145"/>
      <c r="S21" s="145"/>
      <c r="T21" s="145"/>
      <c r="U21" s="145"/>
      <c r="V21" s="145"/>
      <c r="W21" s="190"/>
      <c r="Z21" s="149"/>
      <c r="AA21" s="149"/>
      <c r="AB21" s="149"/>
      <c r="AC21" s="149"/>
      <c r="AD21" s="150"/>
      <c r="AE21" s="150"/>
      <c r="AF21" s="150"/>
      <c r="AG21" s="150"/>
      <c r="AH21" s="150"/>
      <c r="AI21" s="150"/>
      <c r="AJ21" s="150"/>
      <c r="AK21" s="150"/>
      <c r="AL21" s="150"/>
    </row>
    <row r="22" spans="1:53" s="148" customFormat="1" x14ac:dyDescent="0.25">
      <c r="A22" s="125" t="s">
        <v>145</v>
      </c>
      <c r="B22" s="45"/>
      <c r="C22" s="41">
        <v>0</v>
      </c>
      <c r="D22" s="44" t="s">
        <v>37</v>
      </c>
      <c r="E22" s="55">
        <v>0</v>
      </c>
      <c r="F22" s="133">
        <f t="shared" si="0"/>
        <v>0</v>
      </c>
      <c r="G22" s="139">
        <f t="shared" si="1"/>
        <v>0</v>
      </c>
      <c r="H22" s="133">
        <f t="shared" si="2"/>
        <v>0</v>
      </c>
      <c r="I22" s="146"/>
      <c r="J22" s="146"/>
      <c r="K22" s="146"/>
      <c r="L22" s="147"/>
      <c r="N22" s="145"/>
      <c r="O22" s="170"/>
      <c r="P22" s="145"/>
      <c r="Q22" s="145"/>
      <c r="R22" s="145"/>
      <c r="S22" s="145"/>
      <c r="T22" s="145"/>
      <c r="U22" s="145"/>
      <c r="V22" s="145"/>
      <c r="W22" s="190"/>
      <c r="Z22" s="149"/>
      <c r="AA22" s="149"/>
      <c r="AB22" s="149"/>
      <c r="AC22" s="149"/>
      <c r="AD22" s="150"/>
      <c r="AE22" s="150"/>
      <c r="AF22" s="150"/>
      <c r="AG22" s="150"/>
      <c r="AH22" s="150"/>
      <c r="AI22" s="150"/>
      <c r="AJ22" s="150"/>
      <c r="AK22" s="150"/>
      <c r="AL22" s="150"/>
    </row>
    <row r="23" spans="1:53" s="148" customFormat="1" x14ac:dyDescent="0.25">
      <c r="A23" s="125" t="s">
        <v>131</v>
      </c>
      <c r="B23" s="45"/>
      <c r="C23" s="40">
        <v>0</v>
      </c>
      <c r="D23" s="44" t="s">
        <v>158</v>
      </c>
      <c r="E23" s="55">
        <v>0</v>
      </c>
      <c r="F23" s="133">
        <f t="shared" si="0"/>
        <v>0</v>
      </c>
      <c r="G23" s="139">
        <f t="shared" si="1"/>
        <v>0</v>
      </c>
      <c r="H23" s="133">
        <f t="shared" si="2"/>
        <v>0</v>
      </c>
      <c r="I23" s="146"/>
      <c r="J23" s="146"/>
      <c r="K23" s="146"/>
      <c r="L23" s="147"/>
      <c r="N23" s="145"/>
      <c r="O23" s="170"/>
      <c r="P23" s="145"/>
      <c r="Q23" s="145"/>
      <c r="R23" s="145"/>
      <c r="S23" s="145"/>
      <c r="T23" s="145"/>
      <c r="U23" s="145"/>
      <c r="V23" s="145"/>
      <c r="W23" s="145"/>
      <c r="Z23" s="149"/>
      <c r="AA23" s="149"/>
      <c r="AB23" s="149"/>
      <c r="AC23" s="149"/>
      <c r="AD23" s="150"/>
      <c r="AE23" s="150"/>
      <c r="AF23" s="150"/>
      <c r="AG23" s="150"/>
      <c r="AH23" s="150"/>
      <c r="AI23" s="150"/>
      <c r="AJ23" s="150"/>
      <c r="AK23" s="150"/>
      <c r="AL23" s="150"/>
    </row>
    <row r="24" spans="1:53" s="148" customFormat="1" x14ac:dyDescent="0.25">
      <c r="A24" s="125" t="s">
        <v>107</v>
      </c>
      <c r="B24" s="45"/>
      <c r="C24" s="40">
        <v>0</v>
      </c>
      <c r="D24" s="44" t="s">
        <v>35</v>
      </c>
      <c r="E24" s="55">
        <v>0</v>
      </c>
      <c r="F24" s="133">
        <f t="shared" si="0"/>
        <v>0</v>
      </c>
      <c r="G24" s="139">
        <f t="shared" si="1"/>
        <v>0</v>
      </c>
      <c r="H24" s="133">
        <f t="shared" si="2"/>
        <v>0</v>
      </c>
      <c r="I24" s="146"/>
      <c r="J24" s="146"/>
      <c r="K24" s="146"/>
      <c r="L24" s="147"/>
      <c r="N24" s="145"/>
      <c r="O24" s="170"/>
      <c r="P24" s="145"/>
      <c r="Q24" s="145"/>
      <c r="R24" s="145"/>
      <c r="S24" s="145"/>
      <c r="T24" s="145"/>
      <c r="U24" s="145"/>
      <c r="V24" s="145"/>
      <c r="W24" s="145"/>
      <c r="Z24" s="149"/>
      <c r="AA24" s="149"/>
      <c r="AB24" s="149"/>
      <c r="AC24" s="149"/>
      <c r="AD24" s="150"/>
      <c r="AE24" s="150"/>
      <c r="AF24" s="150"/>
      <c r="AG24" s="150"/>
      <c r="AH24" s="150"/>
      <c r="AI24" s="150"/>
      <c r="AJ24" s="150"/>
      <c r="AK24" s="150"/>
      <c r="AL24" s="150"/>
    </row>
    <row r="25" spans="1:53" s="148" customFormat="1" x14ac:dyDescent="0.25">
      <c r="A25" s="125" t="s">
        <v>112</v>
      </c>
      <c r="B25" s="45"/>
      <c r="C25" s="40">
        <v>0</v>
      </c>
      <c r="D25" s="44" t="s">
        <v>35</v>
      </c>
      <c r="E25" s="55">
        <v>0</v>
      </c>
      <c r="F25" s="133">
        <f t="shared" si="0"/>
        <v>0</v>
      </c>
      <c r="G25" s="139">
        <f t="shared" si="1"/>
        <v>0</v>
      </c>
      <c r="H25" s="133">
        <f t="shared" si="2"/>
        <v>0</v>
      </c>
      <c r="I25" s="146"/>
      <c r="J25" s="146"/>
      <c r="K25" s="146"/>
      <c r="L25" s="147"/>
      <c r="N25" s="145"/>
      <c r="O25" s="170"/>
      <c r="P25" s="145"/>
      <c r="Q25" s="145"/>
      <c r="R25" s="145"/>
      <c r="S25" s="145"/>
      <c r="T25" s="145"/>
      <c r="U25" s="145"/>
      <c r="V25" s="145"/>
      <c r="W25" s="145"/>
      <c r="Z25" s="149"/>
      <c r="AA25" s="149"/>
      <c r="AB25" s="149"/>
      <c r="AC25" s="149"/>
      <c r="AD25" s="150"/>
      <c r="AE25" s="150"/>
      <c r="AF25" s="150"/>
      <c r="AG25" s="150"/>
      <c r="AH25" s="150"/>
      <c r="AI25" s="150"/>
      <c r="AJ25" s="150"/>
      <c r="AK25" s="150"/>
      <c r="AL25" s="150"/>
    </row>
    <row r="26" spans="1:53" s="148" customFormat="1" x14ac:dyDescent="0.25">
      <c r="A26" s="125" t="s">
        <v>106</v>
      </c>
      <c r="B26" s="45"/>
      <c r="C26" s="40">
        <v>0</v>
      </c>
      <c r="D26" s="44" t="s">
        <v>159</v>
      </c>
      <c r="E26" s="55">
        <v>0</v>
      </c>
      <c r="F26" s="133">
        <f t="shared" si="0"/>
        <v>0</v>
      </c>
      <c r="G26" s="139">
        <f t="shared" si="1"/>
        <v>0</v>
      </c>
      <c r="H26" s="133">
        <f t="shared" si="2"/>
        <v>0</v>
      </c>
      <c r="I26" s="146"/>
      <c r="J26" s="146"/>
      <c r="K26" s="146"/>
      <c r="L26" s="147"/>
      <c r="N26" s="145"/>
      <c r="O26" s="170"/>
      <c r="P26" s="145"/>
      <c r="Q26" s="145"/>
      <c r="R26" s="145"/>
      <c r="S26" s="145"/>
      <c r="T26" s="145"/>
      <c r="U26" s="145"/>
      <c r="V26" s="145"/>
      <c r="W26" s="145"/>
      <c r="Z26" s="149"/>
      <c r="AA26" s="149"/>
      <c r="AB26" s="149"/>
      <c r="AC26" s="149"/>
      <c r="AD26" s="150"/>
      <c r="AE26" s="150"/>
      <c r="AF26" s="150"/>
      <c r="AG26" s="150"/>
      <c r="AH26" s="150"/>
      <c r="AI26" s="150"/>
      <c r="AJ26" s="150"/>
      <c r="AK26" s="150"/>
      <c r="AL26" s="150"/>
      <c r="BA26" s="145"/>
    </row>
    <row r="27" spans="1:53" s="148" customFormat="1" x14ac:dyDescent="0.25">
      <c r="A27" s="67"/>
      <c r="B27" s="45"/>
      <c r="C27" s="40"/>
      <c r="D27" s="44"/>
      <c r="E27" s="55"/>
      <c r="F27" s="133"/>
      <c r="G27" s="139"/>
      <c r="H27" s="133"/>
      <c r="I27" s="146"/>
      <c r="J27" s="146"/>
      <c r="K27" s="146"/>
      <c r="L27" s="147"/>
      <c r="N27" s="145"/>
      <c r="O27" s="170"/>
      <c r="P27" s="145"/>
      <c r="Q27" s="145"/>
      <c r="R27" s="145"/>
      <c r="S27" s="145"/>
      <c r="T27" s="145"/>
      <c r="U27" s="145"/>
      <c r="V27" s="145"/>
      <c r="W27" s="145"/>
      <c r="Z27" s="149"/>
      <c r="AA27" s="149"/>
      <c r="AB27" s="149"/>
      <c r="AC27" s="149"/>
      <c r="AD27" s="150"/>
      <c r="AE27" s="150"/>
      <c r="AF27" s="150"/>
      <c r="AG27" s="150"/>
      <c r="AH27" s="150"/>
      <c r="AI27" s="150"/>
      <c r="AJ27" s="150"/>
      <c r="AK27" s="150"/>
      <c r="AL27" s="150"/>
      <c r="BA27" s="145"/>
    </row>
    <row r="28" spans="1:53" s="148" customFormat="1" x14ac:dyDescent="0.25">
      <c r="A28" s="171" t="s">
        <v>90</v>
      </c>
      <c r="B28" s="172"/>
      <c r="C28" s="173"/>
      <c r="D28" s="174"/>
      <c r="E28" s="175"/>
      <c r="F28" s="56">
        <f>SUM(F18:F27)</f>
        <v>0</v>
      </c>
      <c r="G28" s="56">
        <f>SUM(G18:G27)</f>
        <v>0</v>
      </c>
      <c r="H28" s="56">
        <f>SUM(H18:H27)</f>
        <v>0</v>
      </c>
      <c r="I28" s="146"/>
      <c r="J28" s="146"/>
      <c r="K28" s="146"/>
      <c r="L28" s="147"/>
      <c r="N28" s="145"/>
      <c r="O28" s="170"/>
      <c r="P28" s="145"/>
      <c r="Q28" s="145"/>
      <c r="R28" s="145"/>
      <c r="S28" s="145"/>
      <c r="T28" s="145"/>
      <c r="U28" s="145"/>
      <c r="V28" s="145"/>
      <c r="W28" s="145"/>
      <c r="Z28" s="149"/>
      <c r="AA28" s="149"/>
      <c r="AB28" s="149"/>
      <c r="AC28" s="149"/>
      <c r="AD28" s="150"/>
      <c r="AE28" s="150"/>
      <c r="AF28" s="150"/>
      <c r="AG28" s="150"/>
      <c r="AH28" s="150"/>
      <c r="AI28" s="150"/>
      <c r="AJ28" s="150"/>
      <c r="AK28" s="150"/>
      <c r="AL28" s="150"/>
      <c r="BA28" s="145"/>
    </row>
    <row r="29" spans="1:53" s="148" customFormat="1" x14ac:dyDescent="0.25">
      <c r="A29" s="176"/>
      <c r="B29" s="122"/>
      <c r="C29" s="177"/>
      <c r="D29" s="152"/>
      <c r="E29" s="178"/>
      <c r="F29" s="179"/>
      <c r="G29" s="204"/>
      <c r="H29" s="145"/>
      <c r="I29" s="126"/>
      <c r="J29" s="147"/>
      <c r="K29" s="145"/>
      <c r="L29" s="145"/>
      <c r="M29" s="170"/>
      <c r="N29" s="145"/>
      <c r="O29" s="145"/>
      <c r="P29" s="145"/>
      <c r="Q29" s="145"/>
      <c r="R29" s="145"/>
      <c r="S29" s="145"/>
      <c r="T29" s="145"/>
      <c r="U29" s="145"/>
      <c r="X29" s="149"/>
      <c r="Y29" s="149"/>
      <c r="Z29" s="149"/>
      <c r="AA29" s="149"/>
      <c r="AB29" s="150"/>
      <c r="AC29" s="150"/>
      <c r="AD29" s="150"/>
      <c r="AE29" s="150"/>
      <c r="AF29" s="150"/>
      <c r="AG29" s="150"/>
      <c r="AH29" s="150"/>
      <c r="AI29" s="150"/>
      <c r="AJ29" s="150"/>
      <c r="AY29" s="145"/>
    </row>
    <row r="30" spans="1:53" s="148" customFormat="1" ht="27.6" x14ac:dyDescent="0.25">
      <c r="A30" s="166" t="s">
        <v>104</v>
      </c>
      <c r="B30" s="167" t="s">
        <v>6</v>
      </c>
      <c r="C30" s="168" t="s">
        <v>146</v>
      </c>
      <c r="D30" s="168" t="s">
        <v>20</v>
      </c>
      <c r="E30" s="168" t="s">
        <v>63</v>
      </c>
      <c r="F30" s="168" t="s">
        <v>147</v>
      </c>
      <c r="G30" s="169" t="s">
        <v>148</v>
      </c>
      <c r="H30" s="169" t="s">
        <v>87</v>
      </c>
      <c r="I30" s="126"/>
      <c r="J30" s="147"/>
      <c r="K30" s="145"/>
      <c r="L30" s="145"/>
      <c r="M30" s="170"/>
      <c r="N30" s="145"/>
      <c r="O30" s="145"/>
      <c r="P30" s="145"/>
      <c r="Q30" s="145"/>
      <c r="R30" s="145"/>
      <c r="S30" s="145"/>
      <c r="T30" s="145"/>
      <c r="U30" s="145"/>
      <c r="X30" s="149"/>
      <c r="Y30" s="149"/>
      <c r="Z30" s="149"/>
      <c r="AA30" s="149"/>
      <c r="AB30" s="150"/>
      <c r="AC30" s="150"/>
      <c r="AD30" s="150"/>
      <c r="AE30" s="150"/>
      <c r="AF30" s="150"/>
      <c r="AG30" s="150"/>
      <c r="AH30" s="150"/>
      <c r="AI30" s="150"/>
      <c r="AJ30" s="150"/>
      <c r="AY30" s="145"/>
    </row>
    <row r="31" spans="1:53" s="148" customFormat="1" x14ac:dyDescent="0.25">
      <c r="A31" s="67" t="s">
        <v>150</v>
      </c>
      <c r="B31" s="45"/>
      <c r="C31" s="41">
        <f>+C22</f>
        <v>0</v>
      </c>
      <c r="D31" s="37" t="s">
        <v>37</v>
      </c>
      <c r="E31" s="55">
        <v>0</v>
      </c>
      <c r="F31" s="133">
        <f>C31*E31</f>
        <v>0</v>
      </c>
      <c r="G31" s="139">
        <f t="shared" ref="G31:G57" si="3">F31/$B$5</f>
        <v>0</v>
      </c>
      <c r="H31" s="133">
        <f t="shared" ref="H31:H48" si="4">F31*$B$4</f>
        <v>0</v>
      </c>
      <c r="I31" s="170"/>
      <c r="J31" s="147"/>
      <c r="K31" s="145"/>
      <c r="L31" s="145"/>
      <c r="M31" s="170"/>
      <c r="N31" s="145"/>
      <c r="O31" s="145"/>
      <c r="P31" s="145"/>
      <c r="Q31" s="145"/>
      <c r="R31" s="145"/>
      <c r="S31" s="145"/>
      <c r="T31" s="145"/>
      <c r="U31" s="145"/>
      <c r="X31" s="149"/>
      <c r="Y31" s="149"/>
      <c r="Z31" s="149"/>
      <c r="AA31" s="149"/>
      <c r="AB31" s="150"/>
      <c r="AC31" s="150"/>
      <c r="AD31" s="150"/>
      <c r="AE31" s="150"/>
      <c r="AF31" s="150"/>
      <c r="AG31" s="150"/>
      <c r="AH31" s="150"/>
      <c r="AI31" s="150"/>
      <c r="AJ31" s="150"/>
    </row>
    <row r="32" spans="1:53" s="148" customFormat="1" x14ac:dyDescent="0.25">
      <c r="A32" s="67" t="s">
        <v>108</v>
      </c>
      <c r="B32" s="45"/>
      <c r="C32" s="42">
        <v>0</v>
      </c>
      <c r="D32" s="37" t="s">
        <v>44</v>
      </c>
      <c r="E32" s="55">
        <v>0</v>
      </c>
      <c r="F32" s="133">
        <f t="shared" ref="F32:F43" si="5">C32*E32</f>
        <v>0</v>
      </c>
      <c r="G32" s="139">
        <f t="shared" si="3"/>
        <v>0</v>
      </c>
      <c r="H32" s="133">
        <f t="shared" si="4"/>
        <v>0</v>
      </c>
      <c r="I32" s="170"/>
      <c r="J32" s="147"/>
      <c r="K32" s="145"/>
      <c r="L32" s="145"/>
      <c r="M32" s="170"/>
      <c r="N32" s="145"/>
      <c r="O32" s="145"/>
      <c r="P32" s="145"/>
      <c r="Q32" s="145"/>
      <c r="R32" s="145"/>
      <c r="S32" s="145"/>
      <c r="T32" s="145"/>
      <c r="U32" s="145"/>
      <c r="X32" s="149"/>
      <c r="Y32" s="149"/>
      <c r="Z32" s="149"/>
      <c r="AA32" s="149"/>
      <c r="AB32" s="150"/>
      <c r="AC32" s="150"/>
      <c r="AD32" s="150"/>
      <c r="AE32" s="150"/>
      <c r="AF32" s="150"/>
      <c r="AG32" s="150"/>
      <c r="AH32" s="150"/>
      <c r="AI32" s="150"/>
      <c r="AJ32" s="150"/>
    </row>
    <row r="33" spans="1:36" s="148" customFormat="1" x14ac:dyDescent="0.25">
      <c r="A33" s="67" t="s">
        <v>109</v>
      </c>
      <c r="B33" s="45"/>
      <c r="C33" s="42">
        <v>0</v>
      </c>
      <c r="D33" s="37" t="s">
        <v>44</v>
      </c>
      <c r="E33" s="55">
        <v>0</v>
      </c>
      <c r="F33" s="133">
        <f t="shared" si="5"/>
        <v>0</v>
      </c>
      <c r="G33" s="139">
        <f t="shared" si="3"/>
        <v>0</v>
      </c>
      <c r="H33" s="133">
        <f t="shared" si="4"/>
        <v>0</v>
      </c>
      <c r="I33" s="170"/>
      <c r="J33" s="147"/>
      <c r="K33" s="145"/>
      <c r="L33" s="145"/>
      <c r="M33" s="170"/>
      <c r="N33" s="145"/>
      <c r="O33" s="145"/>
      <c r="P33" s="145"/>
      <c r="Q33" s="145"/>
      <c r="R33" s="145"/>
      <c r="S33" s="145"/>
      <c r="T33" s="145"/>
      <c r="U33" s="145"/>
      <c r="X33" s="149"/>
      <c r="Y33" s="149"/>
      <c r="Z33" s="149"/>
      <c r="AA33" s="149"/>
      <c r="AB33" s="150"/>
      <c r="AC33" s="150"/>
      <c r="AD33" s="150"/>
      <c r="AE33" s="150"/>
      <c r="AF33" s="150"/>
      <c r="AG33" s="150"/>
      <c r="AH33" s="150"/>
      <c r="AI33" s="150"/>
      <c r="AJ33" s="150"/>
    </row>
    <row r="34" spans="1:36" s="148" customFormat="1" x14ac:dyDescent="0.25">
      <c r="A34" s="67" t="s">
        <v>153</v>
      </c>
      <c r="B34" s="45"/>
      <c r="C34" s="42">
        <v>0</v>
      </c>
      <c r="D34" s="37" t="s">
        <v>44</v>
      </c>
      <c r="E34" s="55">
        <v>0</v>
      </c>
      <c r="F34" s="133">
        <f>C34*E34</f>
        <v>0</v>
      </c>
      <c r="G34" s="139">
        <f>F34/$B$5</f>
        <v>0</v>
      </c>
      <c r="H34" s="133">
        <f>F34*$B$4</f>
        <v>0</v>
      </c>
      <c r="I34" s="170"/>
      <c r="J34" s="147"/>
      <c r="K34" s="145"/>
      <c r="L34" s="145"/>
      <c r="M34" s="170"/>
      <c r="N34" s="145"/>
      <c r="O34" s="145"/>
      <c r="P34" s="145"/>
      <c r="Q34" s="145"/>
      <c r="R34" s="145"/>
      <c r="S34" s="145"/>
      <c r="T34" s="145"/>
      <c r="U34" s="145"/>
      <c r="X34" s="149"/>
      <c r="Y34" s="149"/>
      <c r="Z34" s="149"/>
      <c r="AA34" s="149"/>
      <c r="AB34" s="150"/>
      <c r="AC34" s="150"/>
      <c r="AD34" s="150"/>
      <c r="AE34" s="150"/>
      <c r="AF34" s="150"/>
      <c r="AG34" s="150"/>
      <c r="AH34" s="150"/>
      <c r="AI34" s="150"/>
      <c r="AJ34" s="150"/>
    </row>
    <row r="35" spans="1:36" s="148" customFormat="1" x14ac:dyDescent="0.25">
      <c r="A35" s="67" t="s">
        <v>110</v>
      </c>
      <c r="B35" s="45"/>
      <c r="C35" s="42">
        <v>0</v>
      </c>
      <c r="D35" s="37" t="s">
        <v>44</v>
      </c>
      <c r="E35" s="55">
        <v>0</v>
      </c>
      <c r="F35" s="133">
        <f t="shared" si="5"/>
        <v>0</v>
      </c>
      <c r="G35" s="139">
        <f t="shared" si="3"/>
        <v>0</v>
      </c>
      <c r="H35" s="133">
        <f t="shared" si="4"/>
        <v>0</v>
      </c>
      <c r="I35" s="170"/>
      <c r="J35" s="147"/>
      <c r="K35" s="145"/>
      <c r="L35" s="145"/>
      <c r="M35" s="170"/>
      <c r="N35" s="145"/>
      <c r="O35" s="145"/>
      <c r="P35" s="145"/>
      <c r="Q35" s="145"/>
      <c r="R35" s="145"/>
      <c r="S35" s="145"/>
      <c r="T35" s="145"/>
      <c r="U35" s="145"/>
      <c r="X35" s="149"/>
      <c r="Y35" s="149"/>
      <c r="Z35" s="149"/>
      <c r="AA35" s="149"/>
      <c r="AB35" s="150"/>
      <c r="AC35" s="150"/>
      <c r="AD35" s="150"/>
      <c r="AE35" s="150"/>
      <c r="AF35" s="150"/>
      <c r="AG35" s="150"/>
      <c r="AH35" s="150"/>
      <c r="AI35" s="150"/>
      <c r="AJ35" s="150"/>
    </row>
    <row r="36" spans="1:36" s="148" customFormat="1" x14ac:dyDescent="0.25">
      <c r="A36" s="67" t="s">
        <v>47</v>
      </c>
      <c r="B36" s="45"/>
      <c r="C36" s="42">
        <v>0</v>
      </c>
      <c r="D36" s="37" t="s">
        <v>44</v>
      </c>
      <c r="E36" s="55">
        <v>0</v>
      </c>
      <c r="F36" s="133">
        <f t="shared" si="5"/>
        <v>0</v>
      </c>
      <c r="G36" s="139">
        <f t="shared" si="3"/>
        <v>0</v>
      </c>
      <c r="H36" s="133">
        <f t="shared" si="4"/>
        <v>0</v>
      </c>
      <c r="I36" s="170"/>
      <c r="J36" s="147"/>
      <c r="K36" s="145"/>
      <c r="L36" s="145"/>
      <c r="M36" s="170"/>
      <c r="N36" s="145"/>
      <c r="O36" s="145"/>
      <c r="P36" s="145"/>
      <c r="Q36" s="145"/>
      <c r="R36" s="145"/>
      <c r="S36" s="145"/>
      <c r="T36" s="145"/>
      <c r="U36" s="145"/>
      <c r="X36" s="149"/>
      <c r="Y36" s="149"/>
      <c r="Z36" s="149"/>
      <c r="AA36" s="149"/>
      <c r="AB36" s="150"/>
      <c r="AC36" s="150"/>
      <c r="AD36" s="150"/>
      <c r="AE36" s="150"/>
      <c r="AF36" s="150"/>
      <c r="AG36" s="150"/>
      <c r="AH36" s="150"/>
      <c r="AI36" s="150"/>
      <c r="AJ36" s="150"/>
    </row>
    <row r="37" spans="1:36" s="148" customFormat="1" x14ac:dyDescent="0.25">
      <c r="A37" s="67" t="s">
        <v>152</v>
      </c>
      <c r="B37" s="45"/>
      <c r="C37" s="41">
        <v>0</v>
      </c>
      <c r="D37" s="37" t="s">
        <v>37</v>
      </c>
      <c r="E37" s="55">
        <v>0</v>
      </c>
      <c r="F37" s="133">
        <f t="shared" si="5"/>
        <v>0</v>
      </c>
      <c r="G37" s="139">
        <f t="shared" si="3"/>
        <v>0</v>
      </c>
      <c r="H37" s="133">
        <f t="shared" si="4"/>
        <v>0</v>
      </c>
      <c r="I37" s="170"/>
      <c r="J37" s="147"/>
      <c r="K37" s="145"/>
      <c r="L37" s="145"/>
      <c r="M37" s="170"/>
      <c r="N37" s="145"/>
      <c r="O37" s="145"/>
      <c r="P37" s="145"/>
      <c r="Q37" s="145"/>
      <c r="R37" s="145"/>
      <c r="S37" s="145"/>
      <c r="T37" s="145"/>
      <c r="U37" s="145"/>
      <c r="X37" s="149"/>
      <c r="Y37" s="149"/>
      <c r="Z37" s="149"/>
      <c r="AA37" s="149"/>
      <c r="AB37" s="150"/>
      <c r="AC37" s="150"/>
      <c r="AD37" s="150"/>
      <c r="AE37" s="150"/>
      <c r="AF37" s="150"/>
      <c r="AG37" s="150"/>
      <c r="AH37" s="150"/>
      <c r="AI37" s="150"/>
      <c r="AJ37" s="150"/>
    </row>
    <row r="38" spans="1:36" s="148" customFormat="1" x14ac:dyDescent="0.25">
      <c r="A38" s="67" t="s">
        <v>48</v>
      </c>
      <c r="B38" s="45"/>
      <c r="C38" s="42">
        <v>0</v>
      </c>
      <c r="D38" s="37" t="s">
        <v>49</v>
      </c>
      <c r="E38" s="55">
        <v>0</v>
      </c>
      <c r="F38" s="133">
        <f t="shared" si="5"/>
        <v>0</v>
      </c>
      <c r="G38" s="139">
        <f t="shared" si="3"/>
        <v>0</v>
      </c>
      <c r="H38" s="133">
        <f t="shared" si="4"/>
        <v>0</v>
      </c>
      <c r="I38" s="170"/>
      <c r="J38" s="147"/>
      <c r="K38" s="145"/>
      <c r="L38" s="145"/>
      <c r="M38" s="170"/>
      <c r="N38" s="145"/>
      <c r="O38" s="145"/>
      <c r="P38" s="145"/>
      <c r="Q38" s="145"/>
      <c r="R38" s="145"/>
      <c r="S38" s="145"/>
      <c r="T38" s="145"/>
      <c r="U38" s="145"/>
      <c r="X38" s="149"/>
      <c r="Y38" s="149"/>
      <c r="Z38" s="149"/>
      <c r="AA38" s="149"/>
      <c r="AB38" s="150"/>
      <c r="AC38" s="150"/>
      <c r="AD38" s="150"/>
      <c r="AE38" s="150"/>
      <c r="AF38" s="150"/>
      <c r="AG38" s="150"/>
      <c r="AH38" s="150"/>
      <c r="AI38" s="150"/>
      <c r="AJ38" s="150"/>
    </row>
    <row r="39" spans="1:36" s="148" customFormat="1" x14ac:dyDescent="0.25">
      <c r="A39" s="67" t="s">
        <v>126</v>
      </c>
      <c r="B39" s="45"/>
      <c r="C39" s="42">
        <v>0</v>
      </c>
      <c r="D39" s="37" t="s">
        <v>35</v>
      </c>
      <c r="E39" s="55">
        <v>0</v>
      </c>
      <c r="F39" s="133">
        <f t="shared" si="5"/>
        <v>0</v>
      </c>
      <c r="G39" s="139">
        <f t="shared" si="3"/>
        <v>0</v>
      </c>
      <c r="H39" s="133">
        <f t="shared" si="4"/>
        <v>0</v>
      </c>
      <c r="I39" s="170"/>
      <c r="J39" s="147"/>
      <c r="K39" s="145"/>
      <c r="L39" s="145"/>
      <c r="M39" s="170"/>
      <c r="N39" s="145"/>
      <c r="O39" s="145"/>
      <c r="P39" s="145"/>
      <c r="Q39" s="145"/>
      <c r="R39" s="145"/>
      <c r="S39" s="145"/>
      <c r="T39" s="145"/>
      <c r="U39" s="145"/>
      <c r="X39" s="149"/>
      <c r="Y39" s="149"/>
      <c r="Z39" s="149"/>
      <c r="AA39" s="149"/>
      <c r="AB39" s="150"/>
      <c r="AC39" s="150"/>
      <c r="AD39" s="150"/>
      <c r="AE39" s="150"/>
      <c r="AF39" s="150"/>
      <c r="AG39" s="150"/>
      <c r="AH39" s="150"/>
      <c r="AI39" s="150"/>
      <c r="AJ39" s="150"/>
    </row>
    <row r="40" spans="1:36" s="148" customFormat="1" x14ac:dyDescent="0.25">
      <c r="A40" s="67" t="s">
        <v>50</v>
      </c>
      <c r="B40" s="45"/>
      <c r="C40" s="41">
        <v>0</v>
      </c>
      <c r="D40" s="37" t="s">
        <v>35</v>
      </c>
      <c r="E40" s="55">
        <v>0</v>
      </c>
      <c r="F40" s="133">
        <f t="shared" si="5"/>
        <v>0</v>
      </c>
      <c r="G40" s="139">
        <f t="shared" si="3"/>
        <v>0</v>
      </c>
      <c r="H40" s="133">
        <f t="shared" si="4"/>
        <v>0</v>
      </c>
      <c r="I40" s="170"/>
      <c r="J40" s="147"/>
      <c r="K40" s="145"/>
      <c r="L40" s="145"/>
      <c r="M40" s="170"/>
      <c r="N40" s="145"/>
      <c r="O40" s="145"/>
      <c r="P40" s="145"/>
      <c r="Q40" s="145"/>
      <c r="R40" s="145"/>
      <c r="S40" s="145"/>
      <c r="T40" s="145"/>
      <c r="U40" s="145"/>
      <c r="X40" s="149"/>
      <c r="Y40" s="149"/>
      <c r="Z40" s="149"/>
      <c r="AA40" s="149"/>
      <c r="AB40" s="150"/>
      <c r="AC40" s="150"/>
      <c r="AD40" s="150"/>
      <c r="AE40" s="150"/>
      <c r="AF40" s="150"/>
      <c r="AG40" s="150"/>
      <c r="AH40" s="150"/>
      <c r="AI40" s="150"/>
      <c r="AJ40" s="150"/>
    </row>
    <row r="41" spans="1:36" s="148" customFormat="1" ht="27.6" x14ac:dyDescent="0.25">
      <c r="A41" s="67" t="s">
        <v>86</v>
      </c>
      <c r="B41" s="45"/>
      <c r="C41" s="41">
        <v>0</v>
      </c>
      <c r="D41" s="37" t="s">
        <v>35</v>
      </c>
      <c r="E41" s="55">
        <v>0</v>
      </c>
      <c r="F41" s="133">
        <f t="shared" si="5"/>
        <v>0</v>
      </c>
      <c r="G41" s="139">
        <f t="shared" si="3"/>
        <v>0</v>
      </c>
      <c r="H41" s="133">
        <f t="shared" si="4"/>
        <v>0</v>
      </c>
      <c r="I41" s="170"/>
      <c r="J41" s="147"/>
      <c r="K41" s="145"/>
      <c r="L41" s="145"/>
      <c r="M41" s="170"/>
      <c r="N41" s="145"/>
      <c r="O41" s="145"/>
      <c r="P41" s="145"/>
      <c r="Q41" s="145"/>
      <c r="R41" s="145"/>
      <c r="S41" s="145"/>
      <c r="T41" s="145"/>
      <c r="U41" s="145"/>
      <c r="X41" s="149"/>
      <c r="Y41" s="149"/>
      <c r="Z41" s="149"/>
      <c r="AA41" s="149"/>
      <c r="AB41" s="150"/>
      <c r="AC41" s="150"/>
      <c r="AD41" s="150"/>
      <c r="AE41" s="150"/>
      <c r="AF41" s="150"/>
      <c r="AG41" s="150"/>
      <c r="AH41" s="150"/>
      <c r="AI41" s="150"/>
      <c r="AJ41" s="150"/>
    </row>
    <row r="42" spans="1:36" s="148" customFormat="1" x14ac:dyDescent="0.25">
      <c r="A42" s="67" t="s">
        <v>160</v>
      </c>
      <c r="B42" s="45"/>
      <c r="C42" s="42">
        <v>0</v>
      </c>
      <c r="D42" s="37" t="s">
        <v>37</v>
      </c>
      <c r="E42" s="55">
        <v>0</v>
      </c>
      <c r="F42" s="133">
        <f t="shared" si="5"/>
        <v>0</v>
      </c>
      <c r="G42" s="139">
        <f t="shared" si="3"/>
        <v>0</v>
      </c>
      <c r="H42" s="133">
        <f t="shared" si="4"/>
        <v>0</v>
      </c>
      <c r="I42" s="170"/>
      <c r="J42" s="147"/>
      <c r="K42" s="145"/>
      <c r="L42" s="145"/>
      <c r="M42" s="170"/>
      <c r="N42" s="145"/>
      <c r="O42" s="145"/>
      <c r="P42" s="145"/>
      <c r="Q42" s="145"/>
      <c r="R42" s="145"/>
      <c r="S42" s="145"/>
      <c r="T42" s="145"/>
      <c r="U42" s="145"/>
      <c r="X42" s="149"/>
      <c r="Y42" s="149"/>
      <c r="Z42" s="149"/>
      <c r="AA42" s="149"/>
      <c r="AB42" s="150"/>
      <c r="AC42" s="150"/>
      <c r="AD42" s="150"/>
      <c r="AE42" s="150"/>
      <c r="AF42" s="150"/>
      <c r="AG42" s="150"/>
      <c r="AH42" s="150"/>
      <c r="AI42" s="150"/>
      <c r="AJ42" s="150"/>
    </row>
    <row r="43" spans="1:36" s="148" customFormat="1" x14ac:dyDescent="0.25">
      <c r="A43" s="67" t="s">
        <v>64</v>
      </c>
      <c r="B43" s="45"/>
      <c r="C43" s="42">
        <v>0</v>
      </c>
      <c r="D43" s="37" t="s">
        <v>35</v>
      </c>
      <c r="E43" s="55">
        <v>0</v>
      </c>
      <c r="F43" s="133">
        <f t="shared" si="5"/>
        <v>0</v>
      </c>
      <c r="G43" s="139">
        <f t="shared" si="3"/>
        <v>0</v>
      </c>
      <c r="H43" s="133">
        <f t="shared" si="4"/>
        <v>0</v>
      </c>
      <c r="I43" s="170"/>
      <c r="J43" s="147"/>
      <c r="K43" s="145"/>
      <c r="L43" s="145"/>
      <c r="M43" s="170"/>
      <c r="N43" s="145"/>
      <c r="O43" s="145"/>
      <c r="P43" s="145"/>
      <c r="Q43" s="145"/>
      <c r="R43" s="145"/>
      <c r="S43" s="145"/>
      <c r="T43" s="145"/>
      <c r="U43" s="145"/>
      <c r="X43" s="149"/>
      <c r="Y43" s="149"/>
      <c r="Z43" s="149"/>
      <c r="AA43" s="149"/>
      <c r="AB43" s="150"/>
      <c r="AC43" s="150"/>
      <c r="AD43" s="150"/>
      <c r="AE43" s="150"/>
      <c r="AF43" s="150"/>
      <c r="AG43" s="150"/>
      <c r="AH43" s="150"/>
      <c r="AI43" s="150"/>
      <c r="AJ43" s="150"/>
    </row>
    <row r="44" spans="1:36" s="148" customFormat="1" x14ac:dyDescent="0.25">
      <c r="A44" s="180"/>
      <c r="B44" s="181" t="s">
        <v>52</v>
      </c>
      <c r="C44" s="182"/>
      <c r="D44" s="181"/>
      <c r="E44" s="183"/>
      <c r="F44" s="56">
        <f>SUM(F31:F43)</f>
        <v>0</v>
      </c>
      <c r="G44" s="205">
        <f>F44/$B$5</f>
        <v>0</v>
      </c>
      <c r="H44" s="134">
        <f>F44*$B$4</f>
        <v>0</v>
      </c>
      <c r="I44" s="170"/>
      <c r="J44" s="147"/>
      <c r="K44" s="145"/>
      <c r="L44" s="145"/>
      <c r="M44" s="170"/>
      <c r="N44" s="145"/>
      <c r="O44" s="145"/>
      <c r="P44" s="145"/>
      <c r="Q44" s="145"/>
      <c r="R44" s="145"/>
      <c r="S44" s="145"/>
      <c r="T44" s="145"/>
      <c r="U44" s="145"/>
      <c r="X44" s="149"/>
      <c r="Y44" s="149"/>
      <c r="Z44" s="149"/>
      <c r="AA44" s="149"/>
      <c r="AB44" s="150"/>
      <c r="AC44" s="150"/>
      <c r="AD44" s="150"/>
      <c r="AE44" s="150"/>
      <c r="AF44" s="150"/>
      <c r="AG44" s="150"/>
      <c r="AH44" s="150"/>
      <c r="AI44" s="150"/>
      <c r="AJ44" s="150"/>
    </row>
    <row r="45" spans="1:36" s="148" customFormat="1" x14ac:dyDescent="0.25">
      <c r="A45" s="125" t="s">
        <v>102</v>
      </c>
      <c r="B45" s="122"/>
      <c r="C45" s="41">
        <v>0</v>
      </c>
      <c r="D45" s="123" t="s">
        <v>62</v>
      </c>
      <c r="E45" s="139">
        <f>Investeringskalkyl!$F$66</f>
        <v>24775.125448028673</v>
      </c>
      <c r="F45" s="133">
        <f>C45/100*E45</f>
        <v>0</v>
      </c>
      <c r="G45" s="139">
        <f t="shared" si="3"/>
        <v>0</v>
      </c>
      <c r="H45" s="133">
        <f t="shared" si="4"/>
        <v>0</v>
      </c>
      <c r="I45" s="170"/>
      <c r="J45" s="147"/>
      <c r="K45" s="145"/>
      <c r="L45" s="145"/>
      <c r="M45" s="170"/>
      <c r="N45" s="145"/>
      <c r="O45" s="145"/>
      <c r="P45" s="145"/>
      <c r="Q45" s="145"/>
      <c r="R45" s="145"/>
      <c r="S45" s="145"/>
      <c r="T45" s="145"/>
      <c r="U45" s="145"/>
      <c r="X45" s="149"/>
      <c r="Y45" s="149"/>
      <c r="Z45" s="149"/>
      <c r="AA45" s="149"/>
      <c r="AB45" s="150"/>
      <c r="AC45" s="150"/>
      <c r="AD45" s="150"/>
      <c r="AE45" s="150"/>
      <c r="AF45" s="150"/>
      <c r="AG45" s="150"/>
      <c r="AH45" s="150"/>
      <c r="AI45" s="150"/>
      <c r="AJ45" s="150"/>
    </row>
    <row r="46" spans="1:36" s="148" customFormat="1" x14ac:dyDescent="0.25">
      <c r="A46" s="125" t="s">
        <v>53</v>
      </c>
      <c r="B46" s="184" t="s">
        <v>72</v>
      </c>
      <c r="C46" s="138">
        <f>($E$22+$E$31)/2</f>
        <v>0</v>
      </c>
      <c r="D46" s="123" t="s">
        <v>35</v>
      </c>
      <c r="E46" s="137">
        <f>Investeringskalkyl!$B$23</f>
        <v>0.05</v>
      </c>
      <c r="F46" s="133">
        <f>C46*E46</f>
        <v>0</v>
      </c>
      <c r="G46" s="139">
        <f t="shared" si="3"/>
        <v>0</v>
      </c>
      <c r="H46" s="133">
        <f t="shared" si="4"/>
        <v>0</v>
      </c>
      <c r="I46" s="170"/>
      <c r="J46" s="147"/>
      <c r="K46" s="145"/>
      <c r="L46" s="145"/>
      <c r="M46" s="170"/>
      <c r="N46" s="145"/>
      <c r="O46" s="145"/>
      <c r="P46" s="145"/>
      <c r="Q46" s="145"/>
      <c r="R46" s="145"/>
      <c r="S46" s="145"/>
      <c r="T46" s="145"/>
      <c r="U46" s="145"/>
      <c r="X46" s="149"/>
      <c r="Y46" s="149"/>
      <c r="Z46" s="149"/>
      <c r="AA46" s="149"/>
      <c r="AB46" s="150"/>
      <c r="AC46" s="150"/>
      <c r="AD46" s="150"/>
      <c r="AE46" s="150"/>
      <c r="AF46" s="150"/>
      <c r="AG46" s="150"/>
      <c r="AH46" s="150"/>
      <c r="AI46" s="150"/>
      <c r="AJ46" s="150"/>
    </row>
    <row r="47" spans="1:36" s="148" customFormat="1" x14ac:dyDescent="0.25">
      <c r="A47" s="125" t="s">
        <v>128</v>
      </c>
      <c r="B47" s="184" t="s">
        <v>72</v>
      </c>
      <c r="C47" s="138">
        <f>(($F$44-$F$31)+SUM(F51:F55))/2</f>
        <v>0</v>
      </c>
      <c r="D47" s="123" t="s">
        <v>35</v>
      </c>
      <c r="E47" s="137">
        <f>Investeringskalkyl!$B$23</f>
        <v>0.05</v>
      </c>
      <c r="F47" s="133">
        <f>C47*E47</f>
        <v>0</v>
      </c>
      <c r="G47" s="139">
        <f t="shared" si="3"/>
        <v>0</v>
      </c>
      <c r="H47" s="133">
        <f t="shared" si="4"/>
        <v>0</v>
      </c>
      <c r="I47" s="170"/>
      <c r="J47" s="147"/>
      <c r="K47" s="145"/>
      <c r="L47" s="145"/>
      <c r="M47" s="170"/>
      <c r="N47" s="145"/>
      <c r="O47" s="145"/>
      <c r="P47" s="145"/>
      <c r="Q47" s="145"/>
      <c r="R47" s="145"/>
      <c r="S47" s="145"/>
      <c r="T47" s="145"/>
      <c r="U47" s="145"/>
      <c r="X47" s="149"/>
      <c r="Y47" s="149"/>
      <c r="Z47" s="149"/>
      <c r="AA47" s="149"/>
      <c r="AB47" s="150"/>
      <c r="AC47" s="150"/>
      <c r="AD47" s="150"/>
      <c r="AE47" s="150"/>
      <c r="AF47" s="150"/>
      <c r="AG47" s="150"/>
      <c r="AH47" s="150"/>
      <c r="AI47" s="150"/>
      <c r="AJ47" s="150"/>
    </row>
    <row r="48" spans="1:36" s="148" customFormat="1" x14ac:dyDescent="0.25">
      <c r="A48" s="67"/>
      <c r="B48" s="51"/>
      <c r="C48" s="42"/>
      <c r="D48" s="44"/>
      <c r="E48" s="86"/>
      <c r="F48" s="133">
        <f>C48*E48</f>
        <v>0</v>
      </c>
      <c r="G48" s="139">
        <f t="shared" si="3"/>
        <v>0</v>
      </c>
      <c r="H48" s="133">
        <f t="shared" si="4"/>
        <v>0</v>
      </c>
      <c r="I48" s="170"/>
      <c r="J48" s="147"/>
      <c r="K48" s="145"/>
      <c r="L48" s="145"/>
      <c r="M48" s="170"/>
      <c r="N48" s="145"/>
      <c r="O48" s="145"/>
      <c r="P48" s="145"/>
      <c r="Q48" s="145"/>
      <c r="R48" s="145"/>
      <c r="S48" s="145"/>
      <c r="T48" s="145"/>
      <c r="U48" s="145"/>
      <c r="X48" s="149"/>
      <c r="Y48" s="149"/>
      <c r="Z48" s="149"/>
      <c r="AA48" s="149"/>
      <c r="AB48" s="150"/>
      <c r="AC48" s="150"/>
      <c r="AD48" s="150"/>
      <c r="AE48" s="150"/>
      <c r="AF48" s="150"/>
      <c r="AG48" s="150"/>
      <c r="AH48" s="150"/>
      <c r="AI48" s="150"/>
      <c r="AJ48" s="150"/>
    </row>
    <row r="49" spans="1:38" s="148" customFormat="1" x14ac:dyDescent="0.25">
      <c r="A49" s="185"/>
      <c r="B49" s="181" t="s">
        <v>54</v>
      </c>
      <c r="C49" s="186" t="s">
        <v>34</v>
      </c>
      <c r="D49" s="181"/>
      <c r="E49" s="183" t="s">
        <v>34</v>
      </c>
      <c r="F49" s="56">
        <f>SUM(F45:F48)</f>
        <v>0</v>
      </c>
      <c r="G49" s="205">
        <f>F49/$B$5</f>
        <v>0</v>
      </c>
      <c r="H49" s="134">
        <f t="shared" ref="H49:H57" si="6">F49*$B$4</f>
        <v>0</v>
      </c>
      <c r="I49" s="170"/>
      <c r="J49" s="147"/>
      <c r="K49" s="145"/>
      <c r="L49" s="145"/>
      <c r="M49" s="170"/>
      <c r="N49" s="145"/>
      <c r="O49" s="145"/>
      <c r="P49" s="145"/>
      <c r="Q49" s="145"/>
      <c r="R49" s="145"/>
      <c r="S49" s="145"/>
      <c r="T49" s="145"/>
      <c r="U49" s="145"/>
      <c r="X49" s="149"/>
      <c r="Y49" s="149"/>
      <c r="Z49" s="149"/>
      <c r="AA49" s="149"/>
      <c r="AB49" s="150"/>
      <c r="AC49" s="150"/>
      <c r="AD49" s="150"/>
      <c r="AE49" s="150"/>
      <c r="AF49" s="150"/>
      <c r="AG49" s="150"/>
      <c r="AH49" s="150"/>
      <c r="AI49" s="150"/>
      <c r="AJ49" s="150"/>
    </row>
    <row r="50" spans="1:38" s="148" customFormat="1" x14ac:dyDescent="0.25">
      <c r="A50" s="125" t="s">
        <v>55</v>
      </c>
      <c r="B50" s="184" t="s">
        <v>72</v>
      </c>
      <c r="C50" s="126">
        <f>IF(Investeringskalkyl!$C$14="tackor",1,0)</f>
        <v>0</v>
      </c>
      <c r="D50" s="124" t="s">
        <v>35</v>
      </c>
      <c r="E50" s="139">
        <f>Investeringskalkyl!$F$67*(Investeringskalkyl!$B$23/(1-(1+Investeringskalkyl!$B$23)^(-Investeringskalkyl!$B$26)))</f>
        <v>1972.5168308916927</v>
      </c>
      <c r="F50" s="133">
        <f t="shared" ref="F50:F55" si="7">C50*E50</f>
        <v>0</v>
      </c>
      <c r="G50" s="139">
        <f t="shared" si="3"/>
        <v>0</v>
      </c>
      <c r="H50" s="133">
        <f t="shared" si="6"/>
        <v>0</v>
      </c>
      <c r="I50" s="170"/>
      <c r="J50" s="147"/>
      <c r="K50" s="145"/>
      <c r="L50" s="145"/>
      <c r="M50" s="170"/>
      <c r="N50" s="145"/>
      <c r="O50" s="145"/>
      <c r="P50" s="145"/>
      <c r="Q50" s="145"/>
      <c r="R50" s="145"/>
      <c r="S50" s="145"/>
      <c r="T50" s="145"/>
      <c r="U50" s="145"/>
      <c r="X50" s="149"/>
      <c r="Y50" s="149"/>
      <c r="Z50" s="149"/>
      <c r="AA50" s="149"/>
      <c r="AB50" s="150"/>
      <c r="AC50" s="150"/>
      <c r="AD50" s="150"/>
      <c r="AE50" s="150"/>
      <c r="AF50" s="150"/>
      <c r="AG50" s="150"/>
      <c r="AH50" s="150"/>
      <c r="AI50" s="150"/>
      <c r="AJ50" s="150"/>
    </row>
    <row r="51" spans="1:38" s="148" customFormat="1" x14ac:dyDescent="0.25">
      <c r="A51" s="67" t="s">
        <v>67</v>
      </c>
      <c r="B51" s="45"/>
      <c r="C51" s="42">
        <v>0</v>
      </c>
      <c r="D51" s="37" t="s">
        <v>34</v>
      </c>
      <c r="E51" s="53">
        <v>0</v>
      </c>
      <c r="F51" s="133">
        <f t="shared" si="7"/>
        <v>0</v>
      </c>
      <c r="G51" s="139">
        <f t="shared" si="3"/>
        <v>0</v>
      </c>
      <c r="H51" s="133">
        <f t="shared" si="6"/>
        <v>0</v>
      </c>
      <c r="I51" s="170"/>
      <c r="J51" s="147"/>
      <c r="K51" s="145"/>
      <c r="L51" s="145"/>
      <c r="M51" s="170"/>
      <c r="N51" s="145"/>
      <c r="O51" s="145"/>
      <c r="P51" s="145"/>
      <c r="Q51" s="145"/>
      <c r="R51" s="145"/>
      <c r="S51" s="145"/>
      <c r="T51" s="145"/>
      <c r="U51" s="145"/>
      <c r="X51" s="149"/>
      <c r="Y51" s="149"/>
      <c r="Z51" s="149"/>
      <c r="AA51" s="149"/>
      <c r="AB51" s="150"/>
      <c r="AC51" s="150"/>
      <c r="AD51" s="150"/>
      <c r="AE51" s="150"/>
      <c r="AF51" s="150"/>
      <c r="AG51" s="150"/>
      <c r="AH51" s="150"/>
      <c r="AI51" s="150"/>
      <c r="AJ51" s="150"/>
    </row>
    <row r="52" spans="1:38" s="148" customFormat="1" x14ac:dyDescent="0.25">
      <c r="A52" s="67" t="s">
        <v>68</v>
      </c>
      <c r="B52" s="52"/>
      <c r="C52" s="42">
        <v>0</v>
      </c>
      <c r="D52" s="37"/>
      <c r="E52" s="54">
        <v>0</v>
      </c>
      <c r="F52" s="133">
        <f t="shared" si="7"/>
        <v>0</v>
      </c>
      <c r="G52" s="139">
        <f t="shared" si="3"/>
        <v>0</v>
      </c>
      <c r="H52" s="133">
        <f t="shared" si="6"/>
        <v>0</v>
      </c>
      <c r="I52" s="145"/>
      <c r="J52" s="147"/>
      <c r="K52" s="147"/>
      <c r="L52" s="145"/>
      <c r="M52" s="170"/>
      <c r="N52" s="145"/>
      <c r="O52" s="145"/>
      <c r="P52" s="145"/>
      <c r="Q52" s="145"/>
      <c r="R52" s="145"/>
      <c r="S52" s="145"/>
      <c r="T52" s="145"/>
      <c r="U52" s="145"/>
      <c r="X52" s="149"/>
      <c r="Y52" s="149"/>
      <c r="Z52" s="149"/>
      <c r="AA52" s="149"/>
      <c r="AB52" s="150"/>
      <c r="AC52" s="150"/>
      <c r="AD52" s="150"/>
      <c r="AE52" s="150"/>
      <c r="AF52" s="150"/>
      <c r="AG52" s="150"/>
      <c r="AH52" s="150"/>
      <c r="AI52" s="150"/>
      <c r="AJ52" s="150"/>
    </row>
    <row r="53" spans="1:38" s="148" customFormat="1" x14ac:dyDescent="0.25">
      <c r="A53" s="67" t="s">
        <v>61</v>
      </c>
      <c r="B53" s="45"/>
      <c r="C53" s="42">
        <v>0</v>
      </c>
      <c r="D53" s="37" t="s">
        <v>56</v>
      </c>
      <c r="E53" s="55">
        <v>220</v>
      </c>
      <c r="F53" s="133">
        <f t="shared" si="7"/>
        <v>0</v>
      </c>
      <c r="G53" s="139">
        <f t="shared" si="3"/>
        <v>0</v>
      </c>
      <c r="H53" s="133">
        <f t="shared" si="6"/>
        <v>0</v>
      </c>
      <c r="I53" s="170"/>
      <c r="J53" s="147"/>
      <c r="K53" s="145"/>
      <c r="L53" s="145"/>
      <c r="M53" s="170"/>
      <c r="N53" s="145"/>
      <c r="O53" s="145"/>
      <c r="P53" s="145"/>
      <c r="Q53" s="145"/>
      <c r="R53" s="145"/>
      <c r="S53" s="145"/>
      <c r="T53" s="145"/>
      <c r="U53" s="145"/>
      <c r="X53" s="149"/>
      <c r="Y53" s="149"/>
      <c r="Z53" s="149"/>
      <c r="AA53" s="149"/>
      <c r="AB53" s="150"/>
      <c r="AC53" s="150"/>
      <c r="AD53" s="150"/>
      <c r="AE53" s="150"/>
      <c r="AF53" s="150"/>
      <c r="AG53" s="150"/>
      <c r="AH53" s="150"/>
      <c r="AI53" s="150"/>
      <c r="AJ53" s="150"/>
    </row>
    <row r="54" spans="1:38" s="148" customFormat="1" x14ac:dyDescent="0.25">
      <c r="A54" s="67" t="s">
        <v>111</v>
      </c>
      <c r="B54" s="45"/>
      <c r="C54" s="42">
        <v>0</v>
      </c>
      <c r="D54" s="37" t="s">
        <v>56</v>
      </c>
      <c r="E54" s="55"/>
      <c r="F54" s="133">
        <f t="shared" si="7"/>
        <v>0</v>
      </c>
      <c r="G54" s="139">
        <f t="shared" si="3"/>
        <v>0</v>
      </c>
      <c r="H54" s="133">
        <f t="shared" si="6"/>
        <v>0</v>
      </c>
      <c r="I54" s="170"/>
      <c r="J54" s="147"/>
      <c r="K54" s="145"/>
      <c r="L54" s="145"/>
      <c r="M54" s="170"/>
      <c r="N54" s="145"/>
      <c r="O54" s="145"/>
      <c r="P54" s="145"/>
      <c r="Q54" s="145"/>
      <c r="R54" s="145"/>
      <c r="S54" s="145"/>
      <c r="T54" s="145"/>
      <c r="U54" s="145"/>
      <c r="X54" s="149"/>
      <c r="Y54" s="149"/>
      <c r="Z54" s="149"/>
      <c r="AA54" s="149"/>
      <c r="AB54" s="150"/>
      <c r="AC54" s="150"/>
      <c r="AD54" s="150"/>
      <c r="AE54" s="150"/>
      <c r="AF54" s="150"/>
      <c r="AG54" s="150"/>
      <c r="AH54" s="150"/>
      <c r="AI54" s="150"/>
      <c r="AJ54" s="150"/>
    </row>
    <row r="55" spans="1:38" s="148" customFormat="1" x14ac:dyDescent="0.25">
      <c r="A55" s="67"/>
      <c r="B55" s="45"/>
      <c r="C55" s="42"/>
      <c r="D55" s="37"/>
      <c r="E55" s="55"/>
      <c r="F55" s="133">
        <f t="shared" si="7"/>
        <v>0</v>
      </c>
      <c r="G55" s="139">
        <f t="shared" si="3"/>
        <v>0</v>
      </c>
      <c r="H55" s="133">
        <f t="shared" si="6"/>
        <v>0</v>
      </c>
      <c r="I55" s="170"/>
      <c r="J55" s="147"/>
      <c r="K55" s="145"/>
      <c r="L55" s="145"/>
      <c r="M55" s="170"/>
      <c r="N55" s="145"/>
      <c r="O55" s="145"/>
      <c r="P55" s="145"/>
      <c r="Q55" s="145"/>
      <c r="R55" s="145"/>
      <c r="S55" s="145"/>
      <c r="T55" s="145"/>
      <c r="U55" s="145"/>
      <c r="X55" s="149"/>
      <c r="Y55" s="149"/>
      <c r="Z55" s="149"/>
      <c r="AA55" s="149"/>
      <c r="AB55" s="150"/>
      <c r="AC55" s="150"/>
      <c r="AD55" s="150"/>
      <c r="AE55" s="150"/>
      <c r="AF55" s="150"/>
      <c r="AG55" s="150"/>
      <c r="AH55" s="150"/>
      <c r="AI55" s="150"/>
      <c r="AJ55" s="150"/>
    </row>
    <row r="56" spans="1:38" s="148" customFormat="1" x14ac:dyDescent="0.25">
      <c r="A56" s="187"/>
      <c r="B56" s="181" t="s">
        <v>57</v>
      </c>
      <c r="C56" s="182"/>
      <c r="D56" s="181"/>
      <c r="E56" s="188"/>
      <c r="F56" s="56">
        <f>SUM(F50:F55)</f>
        <v>0</v>
      </c>
      <c r="G56" s="205">
        <f>F56/$B$5</f>
        <v>0</v>
      </c>
      <c r="H56" s="134">
        <f t="shared" si="6"/>
        <v>0</v>
      </c>
      <c r="I56" s="145"/>
      <c r="J56" s="147"/>
      <c r="K56" s="147"/>
      <c r="L56" s="145"/>
      <c r="M56" s="170"/>
      <c r="N56" s="145"/>
      <c r="O56" s="145"/>
      <c r="P56" s="145"/>
      <c r="Q56" s="145"/>
      <c r="R56" s="145"/>
      <c r="S56" s="145"/>
      <c r="T56" s="145"/>
      <c r="U56" s="145"/>
      <c r="X56" s="149"/>
      <c r="Y56" s="149"/>
      <c r="Z56" s="149"/>
      <c r="AA56" s="149"/>
      <c r="AB56" s="150"/>
      <c r="AC56" s="150"/>
      <c r="AD56" s="150"/>
      <c r="AE56" s="150"/>
      <c r="AF56" s="150"/>
      <c r="AG56" s="150"/>
      <c r="AH56" s="150"/>
      <c r="AI56" s="150"/>
      <c r="AJ56" s="150"/>
    </row>
    <row r="57" spans="1:38" s="148" customFormat="1" x14ac:dyDescent="0.25">
      <c r="A57" s="180" t="s">
        <v>73</v>
      </c>
      <c r="B57" s="181"/>
      <c r="C57" s="182"/>
      <c r="D57" s="181"/>
      <c r="E57" s="188"/>
      <c r="F57" s="56">
        <f>$F$44+$F$49+$F$56</f>
        <v>0</v>
      </c>
      <c r="G57" s="205">
        <f t="shared" si="3"/>
        <v>0</v>
      </c>
      <c r="H57" s="134">
        <f t="shared" si="6"/>
        <v>0</v>
      </c>
      <c r="I57" s="145"/>
      <c r="J57" s="147"/>
      <c r="K57" s="147"/>
      <c r="L57" s="145"/>
      <c r="M57" s="170"/>
      <c r="N57" s="145"/>
      <c r="O57" s="145"/>
      <c r="P57" s="145"/>
      <c r="Q57" s="145"/>
      <c r="R57" s="145"/>
      <c r="S57" s="145"/>
      <c r="T57" s="145"/>
      <c r="U57" s="145"/>
      <c r="X57" s="149"/>
      <c r="Y57" s="149"/>
      <c r="Z57" s="149"/>
      <c r="AA57" s="149"/>
      <c r="AB57" s="150"/>
      <c r="AC57" s="150"/>
      <c r="AD57" s="150"/>
      <c r="AE57" s="150"/>
      <c r="AF57" s="150"/>
      <c r="AG57" s="150"/>
      <c r="AH57" s="150"/>
      <c r="AI57" s="150"/>
      <c r="AJ57" s="150"/>
    </row>
    <row r="58" spans="1:38" s="148" customFormat="1" x14ac:dyDescent="0.25">
      <c r="A58" s="125"/>
      <c r="B58" s="145"/>
      <c r="C58" s="145"/>
      <c r="D58" s="145"/>
      <c r="E58" s="145"/>
      <c r="F58" s="135"/>
      <c r="G58" s="206"/>
      <c r="H58" s="135"/>
      <c r="I58" s="145"/>
      <c r="J58" s="147"/>
      <c r="K58" s="147"/>
      <c r="L58" s="145"/>
      <c r="M58" s="170"/>
      <c r="N58" s="145"/>
      <c r="O58" s="145"/>
      <c r="P58" s="145"/>
      <c r="Q58" s="145"/>
      <c r="R58" s="145"/>
      <c r="S58" s="145"/>
      <c r="T58" s="145"/>
      <c r="U58" s="145"/>
      <c r="X58" s="149"/>
      <c r="Y58" s="149"/>
      <c r="Z58" s="149"/>
      <c r="AA58" s="149"/>
      <c r="AB58" s="150"/>
      <c r="AC58" s="150"/>
      <c r="AD58" s="150"/>
      <c r="AE58" s="150"/>
      <c r="AF58" s="150"/>
      <c r="AG58" s="150"/>
      <c r="AH58" s="150"/>
      <c r="AI58" s="150"/>
      <c r="AJ58" s="150"/>
    </row>
    <row r="59" spans="1:38" s="148" customFormat="1" x14ac:dyDescent="0.25">
      <c r="A59" s="189"/>
      <c r="C59" s="145"/>
      <c r="D59" s="145"/>
      <c r="E59" s="190"/>
      <c r="F59" s="126"/>
      <c r="G59" s="206"/>
      <c r="H59" s="191"/>
      <c r="I59" s="192"/>
      <c r="J59" s="192"/>
      <c r="K59" s="145"/>
      <c r="L59" s="147"/>
      <c r="M59" s="147"/>
      <c r="N59" s="147"/>
      <c r="O59" s="170"/>
      <c r="P59" s="145"/>
      <c r="Q59" s="145"/>
      <c r="R59" s="145"/>
      <c r="S59" s="145"/>
      <c r="T59" s="145"/>
      <c r="U59" s="145"/>
      <c r="V59" s="145"/>
      <c r="W59" s="145"/>
      <c r="Z59" s="149"/>
      <c r="AA59" s="149"/>
      <c r="AB59" s="149"/>
      <c r="AC59" s="149"/>
      <c r="AD59" s="150"/>
      <c r="AE59" s="150"/>
      <c r="AF59" s="150"/>
      <c r="AG59" s="150"/>
      <c r="AH59" s="150"/>
      <c r="AI59" s="150"/>
      <c r="AJ59" s="150"/>
      <c r="AK59" s="150"/>
      <c r="AL59" s="150"/>
    </row>
    <row r="60" spans="1:38" s="148" customFormat="1" x14ac:dyDescent="0.25">
      <c r="A60" s="189"/>
      <c r="C60" s="145"/>
      <c r="D60" s="145"/>
      <c r="E60" s="190"/>
      <c r="G60" s="206"/>
      <c r="H60" s="145"/>
      <c r="I60" s="193"/>
      <c r="J60" s="192"/>
      <c r="K60" s="145"/>
      <c r="L60" s="147"/>
      <c r="M60" s="147"/>
      <c r="N60" s="147"/>
      <c r="O60" s="170"/>
      <c r="P60" s="145"/>
      <c r="Q60" s="145"/>
      <c r="R60" s="145"/>
      <c r="S60" s="145"/>
      <c r="T60" s="145"/>
      <c r="U60" s="145"/>
      <c r="V60" s="145"/>
      <c r="W60" s="145"/>
      <c r="Z60" s="149"/>
      <c r="AA60" s="149"/>
      <c r="AB60" s="149"/>
      <c r="AC60" s="149"/>
      <c r="AD60" s="150"/>
      <c r="AE60" s="150"/>
      <c r="AF60" s="150"/>
      <c r="AG60" s="150"/>
      <c r="AH60" s="150"/>
      <c r="AI60" s="150"/>
      <c r="AJ60" s="150"/>
      <c r="AK60" s="150"/>
      <c r="AL60" s="150"/>
    </row>
    <row r="61" spans="1:38" s="148" customFormat="1" x14ac:dyDescent="0.25">
      <c r="A61" s="189"/>
      <c r="C61" s="145"/>
      <c r="D61" s="145"/>
      <c r="E61" s="190"/>
      <c r="G61" s="206"/>
      <c r="H61" s="145"/>
      <c r="I61" s="193"/>
      <c r="J61" s="192"/>
      <c r="K61" s="145"/>
      <c r="L61" s="147"/>
      <c r="M61" s="147"/>
      <c r="N61" s="147"/>
      <c r="O61" s="170"/>
      <c r="P61" s="145"/>
      <c r="Q61" s="145"/>
      <c r="R61" s="145"/>
      <c r="S61" s="145"/>
      <c r="T61" s="145"/>
      <c r="U61" s="145"/>
      <c r="V61" s="145"/>
      <c r="W61" s="145"/>
      <c r="Z61" s="149"/>
      <c r="AA61" s="149"/>
      <c r="AB61" s="149"/>
      <c r="AC61" s="149"/>
      <c r="AD61" s="150"/>
      <c r="AE61" s="150"/>
      <c r="AF61" s="150"/>
      <c r="AG61" s="150"/>
      <c r="AH61" s="150"/>
      <c r="AI61" s="150"/>
      <c r="AJ61" s="150"/>
      <c r="AK61" s="150"/>
      <c r="AL61" s="150"/>
    </row>
    <row r="62" spans="1:38" s="148" customFormat="1" x14ac:dyDescent="0.25">
      <c r="A62" s="189"/>
      <c r="C62" s="145"/>
      <c r="D62" s="145"/>
      <c r="E62" s="190"/>
      <c r="G62" s="206"/>
      <c r="H62" s="145"/>
      <c r="I62" s="192"/>
      <c r="J62" s="192"/>
      <c r="K62" s="145"/>
      <c r="L62" s="147"/>
      <c r="M62" s="147"/>
      <c r="N62" s="147"/>
      <c r="O62" s="170"/>
      <c r="P62" s="145"/>
      <c r="Q62" s="145"/>
      <c r="R62" s="145"/>
      <c r="S62" s="145"/>
      <c r="T62" s="145"/>
      <c r="U62" s="145"/>
      <c r="V62" s="145"/>
      <c r="W62" s="145"/>
      <c r="Z62" s="149"/>
      <c r="AA62" s="149"/>
      <c r="AB62" s="149"/>
      <c r="AC62" s="149"/>
      <c r="AD62" s="150"/>
      <c r="AE62" s="150"/>
      <c r="AF62" s="150"/>
      <c r="AG62" s="150"/>
      <c r="AH62" s="150"/>
      <c r="AI62" s="150"/>
      <c r="AJ62" s="150"/>
      <c r="AK62" s="150"/>
      <c r="AL62" s="150"/>
    </row>
    <row r="63" spans="1:38" s="148" customFormat="1" x14ac:dyDescent="0.25">
      <c r="A63" s="189"/>
      <c r="C63" s="145"/>
      <c r="D63" s="145"/>
      <c r="E63" s="190"/>
      <c r="G63" s="206"/>
      <c r="H63" s="145"/>
      <c r="I63" s="192"/>
      <c r="J63" s="192"/>
      <c r="K63" s="145"/>
      <c r="L63" s="147"/>
      <c r="M63" s="147"/>
      <c r="N63" s="147"/>
      <c r="O63" s="170"/>
      <c r="P63" s="145"/>
      <c r="Q63" s="145"/>
      <c r="R63" s="145"/>
      <c r="S63" s="145"/>
      <c r="T63" s="145"/>
      <c r="U63" s="145"/>
      <c r="V63" s="145"/>
      <c r="W63" s="145"/>
      <c r="Z63" s="149"/>
      <c r="AA63" s="149"/>
      <c r="AB63" s="149"/>
      <c r="AC63" s="149"/>
      <c r="AD63" s="150"/>
      <c r="AE63" s="150"/>
      <c r="AF63" s="150"/>
      <c r="AG63" s="150"/>
      <c r="AH63" s="150"/>
      <c r="AI63" s="150"/>
      <c r="AJ63" s="150"/>
      <c r="AK63" s="150"/>
      <c r="AL63" s="150"/>
    </row>
    <row r="64" spans="1:38" s="148" customFormat="1" x14ac:dyDescent="0.25">
      <c r="A64" s="189"/>
      <c r="C64" s="145"/>
      <c r="D64" s="145"/>
      <c r="E64" s="190"/>
      <c r="G64" s="147"/>
      <c r="H64" s="145"/>
      <c r="I64" s="147"/>
      <c r="J64" s="147"/>
      <c r="K64" s="170"/>
      <c r="L64" s="145"/>
      <c r="M64" s="145"/>
      <c r="N64" s="145"/>
      <c r="O64" s="145"/>
      <c r="P64" s="145"/>
      <c r="Q64" s="145"/>
      <c r="R64" s="145"/>
      <c r="S64" s="145"/>
      <c r="V64" s="149"/>
      <c r="W64" s="149"/>
      <c r="X64" s="149"/>
      <c r="Y64" s="149"/>
      <c r="Z64" s="150"/>
      <c r="AA64" s="150"/>
      <c r="AB64" s="150"/>
      <c r="AC64" s="150"/>
      <c r="AD64" s="150"/>
      <c r="AE64" s="150"/>
      <c r="AF64" s="150"/>
      <c r="AG64" s="150"/>
      <c r="AH64" s="150"/>
    </row>
    <row r="65" spans="1:34" s="148" customFormat="1" x14ac:dyDescent="0.25">
      <c r="A65" s="189"/>
      <c r="C65" s="145"/>
      <c r="D65" s="145"/>
      <c r="E65" s="190"/>
      <c r="G65" s="147"/>
      <c r="H65" s="145"/>
      <c r="I65" s="147"/>
      <c r="J65" s="147"/>
      <c r="K65" s="170"/>
      <c r="L65" s="145"/>
      <c r="M65" s="145"/>
      <c r="N65" s="145"/>
      <c r="O65" s="145"/>
      <c r="P65" s="145"/>
      <c r="Q65" s="145"/>
      <c r="R65" s="145"/>
      <c r="S65" s="145"/>
      <c r="V65" s="149"/>
      <c r="W65" s="149"/>
      <c r="X65" s="149"/>
      <c r="Y65" s="149"/>
      <c r="Z65" s="150"/>
      <c r="AA65" s="150"/>
      <c r="AB65" s="150"/>
      <c r="AC65" s="150"/>
      <c r="AD65" s="150"/>
      <c r="AE65" s="150"/>
      <c r="AF65" s="150"/>
      <c r="AG65" s="150"/>
      <c r="AH65" s="150"/>
    </row>
    <row r="66" spans="1:34" s="148" customFormat="1" x14ac:dyDescent="0.25">
      <c r="C66" s="145"/>
      <c r="D66" s="145"/>
      <c r="E66" s="190"/>
      <c r="G66" s="147"/>
      <c r="H66" s="145"/>
      <c r="I66" s="147"/>
      <c r="J66" s="147"/>
      <c r="K66" s="170"/>
      <c r="L66" s="145"/>
      <c r="M66" s="145"/>
      <c r="N66" s="145"/>
      <c r="O66" s="145"/>
      <c r="P66" s="145"/>
      <c r="Q66" s="145"/>
      <c r="R66" s="145"/>
      <c r="S66" s="145"/>
      <c r="V66" s="149"/>
      <c r="W66" s="149"/>
      <c r="X66" s="149"/>
      <c r="Y66" s="149"/>
      <c r="Z66" s="150"/>
      <c r="AA66" s="150"/>
      <c r="AB66" s="150"/>
      <c r="AC66" s="150"/>
      <c r="AD66" s="150"/>
      <c r="AE66" s="150"/>
      <c r="AF66" s="150"/>
      <c r="AG66" s="150"/>
      <c r="AH66" s="150"/>
    </row>
    <row r="67" spans="1:34" s="148" customFormat="1" x14ac:dyDescent="0.25">
      <c r="C67" s="145"/>
      <c r="D67" s="145"/>
      <c r="E67" s="190"/>
      <c r="G67" s="147"/>
      <c r="H67" s="145"/>
      <c r="I67" s="147"/>
      <c r="J67" s="147"/>
      <c r="K67" s="170"/>
      <c r="L67" s="145"/>
      <c r="M67" s="145"/>
      <c r="N67" s="145"/>
      <c r="O67" s="145"/>
      <c r="P67" s="145"/>
      <c r="Q67" s="145"/>
      <c r="R67" s="145"/>
      <c r="S67" s="145"/>
      <c r="V67" s="149"/>
      <c r="W67" s="149"/>
      <c r="X67" s="149"/>
      <c r="Y67" s="149"/>
      <c r="Z67" s="150"/>
      <c r="AA67" s="150"/>
      <c r="AB67" s="150"/>
      <c r="AC67" s="150"/>
      <c r="AD67" s="150"/>
      <c r="AE67" s="150"/>
    </row>
    <row r="68" spans="1:34" s="148" customFormat="1" x14ac:dyDescent="0.25">
      <c r="C68" s="145"/>
      <c r="D68" s="145"/>
      <c r="E68" s="190"/>
      <c r="G68" s="147"/>
      <c r="H68" s="145"/>
      <c r="I68" s="147"/>
      <c r="J68" s="147"/>
      <c r="K68" s="170"/>
      <c r="L68" s="145"/>
      <c r="M68" s="145"/>
      <c r="N68" s="145"/>
      <c r="O68" s="145"/>
      <c r="P68" s="145"/>
      <c r="Q68" s="145"/>
      <c r="R68" s="145"/>
      <c r="S68" s="145"/>
      <c r="V68" s="149"/>
      <c r="W68" s="149"/>
      <c r="X68" s="149"/>
      <c r="Y68" s="149"/>
      <c r="Z68" s="150"/>
      <c r="AA68" s="150"/>
      <c r="AB68" s="150"/>
      <c r="AC68" s="150"/>
      <c r="AD68" s="150"/>
      <c r="AE68" s="150"/>
    </row>
    <row r="69" spans="1:34" s="148" customFormat="1" x14ac:dyDescent="0.25">
      <c r="C69" s="145"/>
      <c r="D69" s="145"/>
      <c r="E69" s="190"/>
      <c r="G69" s="147"/>
      <c r="H69" s="145"/>
      <c r="I69" s="147"/>
      <c r="J69" s="147"/>
      <c r="K69" s="170"/>
      <c r="L69" s="145"/>
      <c r="M69" s="145"/>
      <c r="N69" s="145"/>
      <c r="O69" s="145"/>
      <c r="P69" s="145"/>
      <c r="Q69" s="145"/>
      <c r="R69" s="145"/>
      <c r="S69" s="145"/>
      <c r="V69" s="149"/>
      <c r="W69" s="149"/>
      <c r="X69" s="149"/>
      <c r="Y69" s="149"/>
      <c r="Z69" s="150"/>
      <c r="AA69" s="150"/>
      <c r="AB69" s="150"/>
      <c r="AC69" s="150"/>
      <c r="AD69" s="150"/>
      <c r="AE69" s="150"/>
    </row>
    <row r="70" spans="1:34" x14ac:dyDescent="0.25">
      <c r="C70" s="145"/>
      <c r="D70" s="145"/>
      <c r="E70" s="190"/>
      <c r="F70" s="148"/>
      <c r="H70" s="145"/>
    </row>
    <row r="71" spans="1:34" x14ac:dyDescent="0.25">
      <c r="C71" s="145"/>
      <c r="D71" s="145"/>
      <c r="E71" s="190"/>
      <c r="F71" s="148"/>
      <c r="H71" s="145"/>
    </row>
    <row r="72" spans="1:34" x14ac:dyDescent="0.25">
      <c r="B72" s="194"/>
    </row>
    <row r="73" spans="1:34" x14ac:dyDescent="0.25">
      <c r="B73" s="194"/>
    </row>
    <row r="74" spans="1:34" x14ac:dyDescent="0.25">
      <c r="B74" s="194"/>
    </row>
  </sheetData>
  <sheetProtection sheet="1" objects="1" scenarios="1"/>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Z77"/>
  <sheetViews>
    <sheetView topLeftCell="A28" zoomScaleNormal="100" workbookViewId="0">
      <selection activeCell="E10" sqref="E10:E11"/>
    </sheetView>
  </sheetViews>
  <sheetFormatPr defaultColWidth="9.109375" defaultRowHeight="13.8" x14ac:dyDescent="0.25"/>
  <cols>
    <col min="1" max="1" width="34.44140625" style="146" bestFit="1" customWidth="1"/>
    <col min="2" max="2" width="14.109375" style="146" customWidth="1"/>
    <col min="3" max="3" width="13.109375" style="146" bestFit="1" customWidth="1"/>
    <col min="4" max="4" width="9.109375" style="146" customWidth="1"/>
    <col min="5" max="5" width="15.33203125" style="146" customWidth="1"/>
    <col min="6" max="6" width="14.44140625" style="146" bestFit="1" customWidth="1"/>
    <col min="7" max="7" width="15.6640625" style="146" bestFit="1" customWidth="1"/>
    <col min="8" max="8" width="9.109375" style="146"/>
    <col min="9" max="9" width="9.5546875" style="146" bestFit="1" customWidth="1"/>
    <col min="10" max="16384" width="9.109375" style="146"/>
  </cols>
  <sheetData>
    <row r="1" spans="1:4" ht="27.6" x14ac:dyDescent="0.45">
      <c r="A1" s="154" t="s">
        <v>142</v>
      </c>
    </row>
    <row r="2" spans="1:4" ht="14.4" thickBot="1" x14ac:dyDescent="0.3"/>
    <row r="3" spans="1:4" x14ac:dyDescent="0.25">
      <c r="A3" s="155" t="s">
        <v>60</v>
      </c>
      <c r="B3" s="156"/>
      <c r="C3" s="157"/>
    </row>
    <row r="4" spans="1:4" x14ac:dyDescent="0.25">
      <c r="A4" s="128" t="s">
        <v>21</v>
      </c>
      <c r="B4" s="158">
        <f>IF(Investeringskalkyl!$C$14="slaktungnöt",Investeringskalkyl!$B$14,0)</f>
        <v>0</v>
      </c>
      <c r="C4" s="159" t="s">
        <v>32</v>
      </c>
      <c r="D4" s="160"/>
    </row>
    <row r="5" spans="1:4" x14ac:dyDescent="0.25">
      <c r="A5" s="128" t="s">
        <v>162</v>
      </c>
      <c r="B5" s="107">
        <v>0</v>
      </c>
      <c r="C5" s="159" t="s">
        <v>163</v>
      </c>
      <c r="D5" s="160"/>
    </row>
    <row r="6" spans="1:4" x14ac:dyDescent="0.25">
      <c r="A6" s="128" t="s">
        <v>164</v>
      </c>
      <c r="B6" s="107">
        <v>0</v>
      </c>
      <c r="C6" s="159" t="s">
        <v>163</v>
      </c>
      <c r="D6" s="160"/>
    </row>
    <row r="7" spans="1:4" x14ac:dyDescent="0.25">
      <c r="A7" s="128" t="s">
        <v>165</v>
      </c>
      <c r="B7" s="158">
        <f>B6-B5</f>
        <v>0</v>
      </c>
      <c r="C7" s="159" t="s">
        <v>163</v>
      </c>
      <c r="D7" s="160"/>
    </row>
    <row r="8" spans="1:4" ht="15.75" customHeight="1" thickBot="1" x14ac:dyDescent="0.3">
      <c r="A8" s="130" t="s">
        <v>166</v>
      </c>
      <c r="B8" s="211" t="e">
        <f>B4*12/B7</f>
        <v>#DIV/0!</v>
      </c>
      <c r="C8" s="162"/>
      <c r="D8" s="160"/>
    </row>
    <row r="9" spans="1:4" ht="14.4" thickBot="1" x14ac:dyDescent="0.3">
      <c r="A9" s="201"/>
    </row>
    <row r="10" spans="1:4" x14ac:dyDescent="0.25">
      <c r="A10" s="141" t="s">
        <v>66</v>
      </c>
      <c r="B10" s="142"/>
    </row>
    <row r="11" spans="1:4" ht="14.4" thickBot="1" x14ac:dyDescent="0.3">
      <c r="A11" s="127" t="s">
        <v>137</v>
      </c>
      <c r="B11" s="90">
        <f>$B$17*$B$4</f>
        <v>0</v>
      </c>
    </row>
    <row r="12" spans="1:4" x14ac:dyDescent="0.25">
      <c r="A12" s="128" t="s">
        <v>138</v>
      </c>
      <c r="B12" s="229" t="e">
        <f>$B$11/$G$29</f>
        <v>#DIV/0!</v>
      </c>
    </row>
    <row r="13" spans="1:4" ht="14.4" thickBot="1" x14ac:dyDescent="0.3">
      <c r="A13" s="130" t="s">
        <v>155</v>
      </c>
      <c r="B13" s="131" t="e">
        <f>$G$56+$G$57</f>
        <v>#DIV/0!</v>
      </c>
    </row>
    <row r="14" spans="1:4" x14ac:dyDescent="0.25">
      <c r="A14" s="141" t="s">
        <v>167</v>
      </c>
      <c r="B14" s="202"/>
    </row>
    <row r="15" spans="1:4" ht="18.75" customHeight="1" x14ac:dyDescent="0.25">
      <c r="A15" s="132" t="s">
        <v>91</v>
      </c>
      <c r="B15" s="89">
        <f>$F$29-$F$47</f>
        <v>0</v>
      </c>
    </row>
    <row r="16" spans="1:4" x14ac:dyDescent="0.25">
      <c r="A16" s="132" t="s">
        <v>92</v>
      </c>
      <c r="B16" s="89">
        <f>$F$29-$F$47-$F$52</f>
        <v>0</v>
      </c>
    </row>
    <row r="17" spans="1:52" ht="14.4" thickBot="1" x14ac:dyDescent="0.3">
      <c r="A17" s="127" t="s">
        <v>93</v>
      </c>
      <c r="B17" s="90">
        <f>$F$29-$F$47-$F52-$F$59</f>
        <v>0</v>
      </c>
    </row>
    <row r="18" spans="1:52" s="148" customFormat="1" ht="12.15" customHeight="1" x14ac:dyDescent="0.25">
      <c r="A18" s="125"/>
      <c r="B18" s="123"/>
      <c r="C18" s="143"/>
      <c r="D18" s="143"/>
      <c r="E18" s="144"/>
      <c r="F18" s="144"/>
      <c r="G18" s="145"/>
      <c r="H18" s="146"/>
      <c r="I18" s="146"/>
      <c r="J18" s="146"/>
      <c r="K18" s="147"/>
      <c r="M18" s="145"/>
      <c r="N18" s="145"/>
      <c r="O18" s="145"/>
      <c r="P18" s="145"/>
      <c r="Q18" s="145"/>
      <c r="R18" s="145"/>
      <c r="S18" s="145"/>
      <c r="T18" s="145"/>
      <c r="U18" s="145"/>
      <c r="V18" s="145"/>
      <c r="Y18" s="149"/>
      <c r="Z18" s="149"/>
      <c r="AA18" s="149"/>
      <c r="AB18" s="149"/>
      <c r="AC18" s="150"/>
      <c r="AD18" s="150"/>
      <c r="AE18" s="150"/>
      <c r="AF18" s="150"/>
      <c r="AG18" s="150"/>
      <c r="AH18" s="150"/>
      <c r="AI18" s="150"/>
      <c r="AJ18" s="150"/>
      <c r="AK18" s="150"/>
    </row>
    <row r="19" spans="1:52" s="148" customFormat="1" ht="12.15" customHeight="1" x14ac:dyDescent="0.25">
      <c r="A19" s="151"/>
      <c r="B19" s="152"/>
      <c r="C19" s="153"/>
      <c r="D19" s="153"/>
      <c r="E19" s="153"/>
      <c r="F19" s="153"/>
      <c r="G19" s="145"/>
      <c r="H19" s="146"/>
      <c r="I19" s="146"/>
      <c r="J19" s="146"/>
      <c r="K19" s="147"/>
      <c r="M19" s="145"/>
      <c r="N19" s="145"/>
      <c r="O19" s="145"/>
      <c r="P19" s="145"/>
      <c r="Q19" s="145"/>
      <c r="R19" s="145"/>
      <c r="S19" s="145"/>
      <c r="T19" s="145"/>
      <c r="U19" s="145"/>
      <c r="V19" s="145"/>
      <c r="Y19" s="149"/>
      <c r="Z19" s="149"/>
      <c r="AA19" s="149"/>
      <c r="AB19" s="149"/>
      <c r="AC19" s="150"/>
      <c r="AD19" s="150"/>
      <c r="AE19" s="150"/>
      <c r="AF19" s="150"/>
      <c r="AG19" s="150"/>
      <c r="AH19" s="150"/>
      <c r="AI19" s="150"/>
      <c r="AJ19" s="150"/>
      <c r="AK19" s="150"/>
    </row>
    <row r="20" spans="1:52" s="148" customFormat="1" ht="27.6" x14ac:dyDescent="0.25">
      <c r="A20" s="166" t="s">
        <v>103</v>
      </c>
      <c r="B20" s="167" t="s">
        <v>6</v>
      </c>
      <c r="C20" s="168" t="s">
        <v>168</v>
      </c>
      <c r="D20" s="168" t="s">
        <v>20</v>
      </c>
      <c r="E20" s="168" t="s">
        <v>63</v>
      </c>
      <c r="F20" s="168" t="s">
        <v>169</v>
      </c>
      <c r="G20" s="169" t="s">
        <v>87</v>
      </c>
      <c r="H20" s="146"/>
      <c r="I20" s="146"/>
      <c r="J20" s="146"/>
      <c r="K20" s="147"/>
      <c r="M20" s="145"/>
      <c r="N20" s="145"/>
      <c r="O20" s="145"/>
      <c r="P20" s="145"/>
      <c r="Q20" s="145"/>
      <c r="R20" s="145"/>
      <c r="S20" s="145"/>
      <c r="T20" s="145"/>
      <c r="U20" s="145"/>
      <c r="V20" s="145"/>
      <c r="Y20" s="149"/>
      <c r="Z20" s="149"/>
      <c r="AA20" s="149"/>
      <c r="AB20" s="149"/>
      <c r="AC20" s="150"/>
      <c r="AD20" s="150"/>
      <c r="AE20" s="150"/>
      <c r="AF20" s="150"/>
      <c r="AG20" s="150"/>
      <c r="AH20" s="150"/>
      <c r="AI20" s="150"/>
      <c r="AJ20" s="150"/>
      <c r="AK20" s="150"/>
    </row>
    <row r="21" spans="1:52" s="148" customFormat="1" x14ac:dyDescent="0.25">
      <c r="A21" s="67" t="s">
        <v>119</v>
      </c>
      <c r="B21" s="45">
        <v>1</v>
      </c>
      <c r="C21" s="41">
        <v>0</v>
      </c>
      <c r="D21" s="37" t="s">
        <v>37</v>
      </c>
      <c r="E21" s="55">
        <v>0</v>
      </c>
      <c r="F21" s="133">
        <f>C21*E21</f>
        <v>0</v>
      </c>
      <c r="G21" s="133" t="e">
        <f t="shared" ref="G21:G28" si="0">F21*$B$8</f>
        <v>#DIV/0!</v>
      </c>
      <c r="H21" s="146"/>
      <c r="I21" s="146"/>
      <c r="J21" s="146"/>
      <c r="K21" s="147"/>
      <c r="M21" s="145"/>
      <c r="N21" s="170"/>
      <c r="O21" s="145"/>
      <c r="P21" s="145"/>
      <c r="Q21" s="145"/>
      <c r="R21" s="145"/>
      <c r="S21" s="145"/>
      <c r="T21" s="145"/>
      <c r="U21" s="145"/>
      <c r="V21" s="145"/>
      <c r="Y21" s="149"/>
      <c r="Z21" s="149"/>
      <c r="AA21" s="149"/>
      <c r="AB21" s="149"/>
      <c r="AC21" s="150"/>
      <c r="AD21" s="150"/>
      <c r="AE21" s="150"/>
      <c r="AF21" s="150"/>
      <c r="AG21" s="150"/>
      <c r="AH21" s="150"/>
      <c r="AI21" s="150"/>
      <c r="AJ21" s="150"/>
      <c r="AK21" s="150"/>
    </row>
    <row r="22" spans="1:52" s="148" customFormat="1" x14ac:dyDescent="0.25">
      <c r="A22" s="67" t="s">
        <v>131</v>
      </c>
      <c r="B22" s="45">
        <v>2</v>
      </c>
      <c r="C22" s="40">
        <v>0</v>
      </c>
      <c r="D22" s="44" t="s">
        <v>35</v>
      </c>
      <c r="E22" s="55">
        <v>0</v>
      </c>
      <c r="F22" s="133">
        <f t="shared" ref="F22:F28" si="1">C22*E22</f>
        <v>0</v>
      </c>
      <c r="G22" s="133" t="e">
        <f t="shared" si="0"/>
        <v>#DIV/0!</v>
      </c>
      <c r="H22" s="146"/>
      <c r="I22" s="146"/>
      <c r="J22" s="146"/>
      <c r="K22" s="147"/>
      <c r="M22" s="145"/>
      <c r="N22" s="170"/>
      <c r="O22" s="145"/>
      <c r="P22" s="145"/>
      <c r="Q22" s="145"/>
      <c r="R22" s="145"/>
      <c r="S22" s="145"/>
      <c r="T22" s="145"/>
      <c r="U22" s="145"/>
      <c r="V22" s="145"/>
      <c r="Y22" s="149"/>
      <c r="Z22" s="149"/>
      <c r="AA22" s="149"/>
      <c r="AB22" s="149"/>
      <c r="AC22" s="150"/>
      <c r="AD22" s="150"/>
      <c r="AE22" s="150"/>
      <c r="AF22" s="150"/>
      <c r="AG22" s="150"/>
      <c r="AH22" s="150"/>
      <c r="AI22" s="150"/>
      <c r="AJ22" s="150"/>
      <c r="AK22" s="150"/>
    </row>
    <row r="23" spans="1:52" s="148" customFormat="1" x14ac:dyDescent="0.25">
      <c r="A23" s="67" t="s">
        <v>170</v>
      </c>
      <c r="B23" s="45">
        <v>3</v>
      </c>
      <c r="C23" s="41">
        <v>0</v>
      </c>
      <c r="D23" s="44" t="s">
        <v>35</v>
      </c>
      <c r="E23" s="55">
        <v>0</v>
      </c>
      <c r="F23" s="133">
        <f t="shared" si="1"/>
        <v>0</v>
      </c>
      <c r="G23" s="133" t="e">
        <f t="shared" si="0"/>
        <v>#DIV/0!</v>
      </c>
      <c r="H23" s="146"/>
      <c r="I23" s="146"/>
      <c r="J23" s="146"/>
      <c r="K23" s="147"/>
      <c r="M23" s="145"/>
      <c r="N23" s="170"/>
      <c r="O23" s="145"/>
      <c r="P23" s="145"/>
      <c r="Q23" s="145"/>
      <c r="R23" s="145"/>
      <c r="S23" s="145"/>
      <c r="T23" s="145"/>
      <c r="U23" s="145"/>
      <c r="V23" s="145"/>
      <c r="Y23" s="149"/>
      <c r="Z23" s="149"/>
      <c r="AA23" s="149"/>
      <c r="AB23" s="149"/>
      <c r="AC23" s="150"/>
      <c r="AD23" s="150"/>
      <c r="AE23" s="150"/>
      <c r="AF23" s="150"/>
      <c r="AG23" s="150"/>
      <c r="AH23" s="150"/>
      <c r="AI23" s="150"/>
      <c r="AJ23" s="150"/>
      <c r="AK23" s="150"/>
    </row>
    <row r="24" spans="1:52" s="148" customFormat="1" x14ac:dyDescent="0.25">
      <c r="A24" s="67" t="s">
        <v>107</v>
      </c>
      <c r="B24" s="45" t="s">
        <v>207</v>
      </c>
      <c r="C24" s="40">
        <v>0</v>
      </c>
      <c r="D24" s="44" t="s">
        <v>35</v>
      </c>
      <c r="E24" s="55">
        <v>0</v>
      </c>
      <c r="F24" s="133">
        <f t="shared" si="1"/>
        <v>0</v>
      </c>
      <c r="G24" s="133" t="e">
        <f t="shared" si="0"/>
        <v>#DIV/0!</v>
      </c>
      <c r="H24" s="146"/>
      <c r="I24" s="146"/>
      <c r="J24" s="146"/>
      <c r="K24" s="147"/>
      <c r="M24" s="145"/>
      <c r="N24" s="170"/>
      <c r="O24" s="145"/>
      <c r="P24" s="145"/>
      <c r="Q24" s="145"/>
      <c r="R24" s="145"/>
      <c r="S24" s="145"/>
      <c r="T24" s="145"/>
      <c r="U24" s="145"/>
      <c r="V24" s="145"/>
      <c r="Y24" s="149"/>
      <c r="Z24" s="149"/>
      <c r="AA24" s="149"/>
      <c r="AB24" s="149"/>
      <c r="AC24" s="150"/>
      <c r="AD24" s="150"/>
      <c r="AE24" s="150"/>
      <c r="AF24" s="150"/>
      <c r="AG24" s="150"/>
      <c r="AH24" s="150"/>
      <c r="AI24" s="150"/>
      <c r="AJ24" s="150"/>
      <c r="AK24" s="150"/>
    </row>
    <row r="25" spans="1:52" s="148" customFormat="1" x14ac:dyDescent="0.25">
      <c r="A25" s="67" t="s">
        <v>112</v>
      </c>
      <c r="B25" s="45"/>
      <c r="C25" s="40">
        <v>0</v>
      </c>
      <c r="D25" s="44" t="s">
        <v>35</v>
      </c>
      <c r="E25" s="55">
        <v>0</v>
      </c>
      <c r="F25" s="133">
        <f t="shared" si="1"/>
        <v>0</v>
      </c>
      <c r="G25" s="133" t="e">
        <f t="shared" si="0"/>
        <v>#DIV/0!</v>
      </c>
      <c r="H25" s="146"/>
      <c r="I25" s="146"/>
      <c r="J25" s="146"/>
      <c r="K25" s="147"/>
      <c r="M25" s="145"/>
      <c r="N25" s="170"/>
      <c r="O25" s="145"/>
      <c r="P25" s="145"/>
      <c r="Q25" s="145"/>
      <c r="R25" s="145"/>
      <c r="S25" s="145"/>
      <c r="T25" s="145"/>
      <c r="U25" s="145"/>
      <c r="V25" s="145"/>
      <c r="Y25" s="149"/>
      <c r="Z25" s="149"/>
      <c r="AA25" s="149"/>
      <c r="AB25" s="149"/>
      <c r="AC25" s="150"/>
      <c r="AD25" s="150"/>
      <c r="AE25" s="150"/>
      <c r="AF25" s="150"/>
      <c r="AG25" s="150"/>
      <c r="AH25" s="150"/>
      <c r="AI25" s="150"/>
      <c r="AJ25" s="150"/>
      <c r="AK25" s="150"/>
    </row>
    <row r="26" spans="1:52" s="148" customFormat="1" x14ac:dyDescent="0.25">
      <c r="A26" s="67" t="s">
        <v>39</v>
      </c>
      <c r="B26" s="45"/>
      <c r="C26" s="40">
        <v>0</v>
      </c>
      <c r="D26" s="44" t="s">
        <v>35</v>
      </c>
      <c r="E26" s="55">
        <v>0</v>
      </c>
      <c r="F26" s="133">
        <f t="shared" si="1"/>
        <v>0</v>
      </c>
      <c r="G26" s="133" t="e">
        <f t="shared" si="0"/>
        <v>#DIV/0!</v>
      </c>
      <c r="H26" s="146"/>
      <c r="I26" s="146"/>
      <c r="J26" s="146"/>
      <c r="K26" s="147"/>
      <c r="M26" s="145"/>
      <c r="N26" s="170"/>
      <c r="O26" s="145"/>
      <c r="P26" s="145"/>
      <c r="Q26" s="145"/>
      <c r="R26" s="145"/>
      <c r="S26" s="145"/>
      <c r="T26" s="145"/>
      <c r="U26" s="145"/>
      <c r="V26" s="145"/>
      <c r="Y26" s="149"/>
      <c r="Z26" s="149"/>
      <c r="AA26" s="149"/>
      <c r="AB26" s="149"/>
      <c r="AC26" s="150"/>
      <c r="AD26" s="150"/>
      <c r="AE26" s="150"/>
      <c r="AF26" s="150"/>
      <c r="AG26" s="150"/>
      <c r="AH26" s="150"/>
      <c r="AI26" s="150"/>
      <c r="AJ26" s="150"/>
      <c r="AK26" s="150"/>
    </row>
    <row r="27" spans="1:52" s="148" customFormat="1" x14ac:dyDescent="0.25">
      <c r="A27" s="67" t="s">
        <v>106</v>
      </c>
      <c r="B27" s="45"/>
      <c r="C27" s="40">
        <v>0</v>
      </c>
      <c r="D27" s="44" t="s">
        <v>41</v>
      </c>
      <c r="E27" s="55">
        <v>0</v>
      </c>
      <c r="F27" s="133">
        <f t="shared" si="1"/>
        <v>0</v>
      </c>
      <c r="G27" s="133" t="e">
        <f t="shared" si="0"/>
        <v>#DIV/0!</v>
      </c>
      <c r="H27" s="146"/>
      <c r="I27" s="146"/>
      <c r="J27" s="146"/>
      <c r="K27" s="147"/>
      <c r="M27" s="145"/>
      <c r="N27" s="170"/>
      <c r="O27" s="145"/>
      <c r="P27" s="145"/>
      <c r="Q27" s="145"/>
      <c r="R27" s="145"/>
      <c r="S27" s="145"/>
      <c r="T27" s="145"/>
      <c r="U27" s="145"/>
      <c r="V27" s="145"/>
      <c r="Y27" s="149"/>
      <c r="Z27" s="149"/>
      <c r="AA27" s="149"/>
      <c r="AB27" s="149"/>
      <c r="AC27" s="150"/>
      <c r="AD27" s="150"/>
      <c r="AE27" s="150"/>
      <c r="AF27" s="150"/>
      <c r="AG27" s="150"/>
      <c r="AH27" s="150"/>
      <c r="AI27" s="150"/>
      <c r="AJ27" s="150"/>
      <c r="AK27" s="150"/>
      <c r="AZ27" s="145"/>
    </row>
    <row r="28" spans="1:52" s="148" customFormat="1" x14ac:dyDescent="0.25">
      <c r="A28" s="67"/>
      <c r="B28" s="45"/>
      <c r="C28" s="40"/>
      <c r="D28" s="44"/>
      <c r="E28" s="55"/>
      <c r="F28" s="133">
        <f t="shared" si="1"/>
        <v>0</v>
      </c>
      <c r="G28" s="133" t="e">
        <f t="shared" si="0"/>
        <v>#DIV/0!</v>
      </c>
      <c r="H28" s="146"/>
      <c r="I28" s="146"/>
      <c r="J28" s="146"/>
      <c r="K28" s="147"/>
      <c r="M28" s="145"/>
      <c r="N28" s="170"/>
      <c r="O28" s="145"/>
      <c r="P28" s="145"/>
      <c r="Q28" s="145"/>
      <c r="R28" s="145"/>
      <c r="S28" s="145"/>
      <c r="T28" s="145"/>
      <c r="U28" s="145"/>
      <c r="V28" s="145"/>
      <c r="Y28" s="149"/>
      <c r="Z28" s="149"/>
      <c r="AA28" s="149"/>
      <c r="AB28" s="149"/>
      <c r="AC28" s="150"/>
      <c r="AD28" s="150"/>
      <c r="AE28" s="150"/>
      <c r="AF28" s="150"/>
      <c r="AG28" s="150"/>
      <c r="AH28" s="150"/>
      <c r="AI28" s="150"/>
      <c r="AJ28" s="150"/>
      <c r="AK28" s="150"/>
      <c r="AZ28" s="145"/>
    </row>
    <row r="29" spans="1:52" s="148" customFormat="1" x14ac:dyDescent="0.25">
      <c r="A29" s="171" t="s">
        <v>90</v>
      </c>
      <c r="B29" s="172"/>
      <c r="C29" s="173"/>
      <c r="D29" s="174"/>
      <c r="E29" s="175"/>
      <c r="F29" s="56">
        <f>SUM(F21:F28)</f>
        <v>0</v>
      </c>
      <c r="G29" s="56" t="e">
        <f>SUM(G21:G28)</f>
        <v>#DIV/0!</v>
      </c>
      <c r="H29" s="146"/>
      <c r="I29" s="146"/>
      <c r="J29" s="146"/>
      <c r="K29" s="147"/>
      <c r="M29" s="145"/>
      <c r="N29" s="170"/>
      <c r="O29" s="145"/>
      <c r="P29" s="145"/>
      <c r="Q29" s="145"/>
      <c r="R29" s="145"/>
      <c r="S29" s="145"/>
      <c r="T29" s="145"/>
      <c r="U29" s="145"/>
      <c r="V29" s="145"/>
      <c r="Y29" s="149"/>
      <c r="Z29" s="149"/>
      <c r="AA29" s="149"/>
      <c r="AB29" s="149"/>
      <c r="AC29" s="150"/>
      <c r="AD29" s="150"/>
      <c r="AE29" s="150"/>
      <c r="AF29" s="150"/>
      <c r="AG29" s="150"/>
      <c r="AH29" s="150"/>
      <c r="AI29" s="150"/>
      <c r="AJ29" s="150"/>
      <c r="AK29" s="150"/>
      <c r="AZ29" s="145"/>
    </row>
    <row r="30" spans="1:52" s="148" customFormat="1" x14ac:dyDescent="0.25">
      <c r="A30" s="176"/>
      <c r="B30" s="122"/>
      <c r="C30" s="177"/>
      <c r="D30" s="152"/>
      <c r="E30" s="178"/>
      <c r="F30" s="179"/>
      <c r="G30" s="145"/>
      <c r="H30" s="126"/>
      <c r="I30" s="147"/>
      <c r="J30" s="145"/>
      <c r="K30" s="145"/>
      <c r="L30" s="170"/>
      <c r="M30" s="145"/>
      <c r="N30" s="145"/>
      <c r="O30" s="145"/>
      <c r="P30" s="145"/>
      <c r="Q30" s="145"/>
      <c r="R30" s="145"/>
      <c r="S30" s="145"/>
      <c r="T30" s="145"/>
      <c r="W30" s="149"/>
      <c r="X30" s="149"/>
      <c r="Y30" s="149"/>
      <c r="Z30" s="149"/>
      <c r="AA30" s="150"/>
      <c r="AB30" s="150"/>
      <c r="AC30" s="150"/>
      <c r="AD30" s="150"/>
      <c r="AE30" s="150"/>
      <c r="AF30" s="150"/>
      <c r="AG30" s="150"/>
      <c r="AH30" s="150"/>
      <c r="AI30" s="150"/>
      <c r="AX30" s="145"/>
    </row>
    <row r="31" spans="1:52" s="148" customFormat="1" ht="27.6" x14ac:dyDescent="0.25">
      <c r="A31" s="166" t="s">
        <v>104</v>
      </c>
      <c r="B31" s="167" t="s">
        <v>6</v>
      </c>
      <c r="C31" s="168" t="s">
        <v>168</v>
      </c>
      <c r="D31" s="168" t="s">
        <v>20</v>
      </c>
      <c r="E31" s="168" t="s">
        <v>63</v>
      </c>
      <c r="F31" s="168" t="s">
        <v>169</v>
      </c>
      <c r="G31" s="169" t="s">
        <v>87</v>
      </c>
      <c r="H31" s="126"/>
      <c r="I31" s="147"/>
      <c r="J31" s="145"/>
      <c r="K31" s="145"/>
      <c r="L31" s="170"/>
      <c r="M31" s="145"/>
      <c r="N31" s="145"/>
      <c r="O31" s="145"/>
      <c r="P31" s="145"/>
      <c r="Q31" s="145"/>
      <c r="R31" s="145"/>
      <c r="S31" s="145"/>
      <c r="T31" s="145"/>
      <c r="W31" s="149"/>
      <c r="X31" s="149"/>
      <c r="Y31" s="149"/>
      <c r="Z31" s="149"/>
      <c r="AA31" s="150"/>
      <c r="AB31" s="150"/>
      <c r="AC31" s="150"/>
      <c r="AD31" s="150"/>
      <c r="AE31" s="150"/>
      <c r="AF31" s="150"/>
      <c r="AG31" s="150"/>
      <c r="AH31" s="150"/>
      <c r="AI31" s="150"/>
      <c r="AX31" s="145"/>
    </row>
    <row r="32" spans="1:52" s="148" customFormat="1" x14ac:dyDescent="0.25">
      <c r="A32" s="67" t="s">
        <v>171</v>
      </c>
      <c r="B32" s="45"/>
      <c r="C32" s="42">
        <v>0</v>
      </c>
      <c r="D32" s="37" t="s">
        <v>37</v>
      </c>
      <c r="E32" s="55">
        <v>0</v>
      </c>
      <c r="F32" s="133">
        <f>C32*E32</f>
        <v>0</v>
      </c>
      <c r="G32" s="133" t="e">
        <f t="shared" ref="G32:G46" si="2">F32*$B$8</f>
        <v>#DIV/0!</v>
      </c>
      <c r="H32" s="170"/>
      <c r="I32" s="147"/>
      <c r="J32" s="145"/>
      <c r="K32" s="145"/>
      <c r="L32" s="170"/>
      <c r="M32" s="145"/>
      <c r="N32" s="145"/>
      <c r="O32" s="145"/>
      <c r="P32" s="145"/>
      <c r="Q32" s="145"/>
      <c r="R32" s="145"/>
      <c r="S32" s="145"/>
      <c r="T32" s="145"/>
      <c r="W32" s="149"/>
      <c r="X32" s="149"/>
      <c r="Y32" s="149"/>
      <c r="Z32" s="149"/>
      <c r="AA32" s="150"/>
      <c r="AB32" s="150"/>
      <c r="AC32" s="150"/>
      <c r="AD32" s="150"/>
      <c r="AE32" s="150"/>
      <c r="AF32" s="150"/>
      <c r="AG32" s="150"/>
      <c r="AH32" s="150"/>
      <c r="AI32" s="150"/>
    </row>
    <row r="33" spans="1:35" s="148" customFormat="1" x14ac:dyDescent="0.25">
      <c r="A33" s="67" t="s">
        <v>172</v>
      </c>
      <c r="B33" s="45"/>
      <c r="C33" s="42">
        <v>1</v>
      </c>
      <c r="D33" s="37" t="s">
        <v>37</v>
      </c>
      <c r="E33" s="55">
        <v>0</v>
      </c>
      <c r="F33" s="133">
        <f>C33*E33</f>
        <v>0</v>
      </c>
      <c r="G33" s="133" t="e">
        <f>F33*$B$8</f>
        <v>#DIV/0!</v>
      </c>
      <c r="H33" s="170"/>
      <c r="I33" s="147"/>
      <c r="J33" s="145"/>
      <c r="K33" s="145"/>
      <c r="L33" s="170"/>
      <c r="M33" s="145"/>
      <c r="N33" s="145"/>
      <c r="O33" s="145"/>
      <c r="P33" s="145"/>
      <c r="Q33" s="145"/>
      <c r="R33" s="145"/>
      <c r="S33" s="145"/>
      <c r="T33" s="145"/>
      <c r="W33" s="149"/>
      <c r="X33" s="149"/>
      <c r="Y33" s="149"/>
      <c r="Z33" s="149"/>
      <c r="AA33" s="150"/>
      <c r="AB33" s="150"/>
      <c r="AC33" s="150"/>
      <c r="AD33" s="150"/>
      <c r="AE33" s="150"/>
      <c r="AF33" s="150"/>
      <c r="AG33" s="150"/>
      <c r="AH33" s="150"/>
      <c r="AI33" s="150"/>
    </row>
    <row r="34" spans="1:35" s="148" customFormat="1" x14ac:dyDescent="0.25">
      <c r="A34" s="67" t="s">
        <v>108</v>
      </c>
      <c r="B34" s="45"/>
      <c r="C34" s="42">
        <v>0</v>
      </c>
      <c r="D34" s="37" t="s">
        <v>44</v>
      </c>
      <c r="E34" s="55">
        <v>0</v>
      </c>
      <c r="F34" s="133">
        <f t="shared" ref="F34:F46" si="3">C34*E34</f>
        <v>0</v>
      </c>
      <c r="G34" s="133" t="e">
        <f t="shared" si="2"/>
        <v>#DIV/0!</v>
      </c>
      <c r="H34" s="170"/>
      <c r="I34" s="147"/>
      <c r="J34" s="145"/>
      <c r="K34" s="145"/>
      <c r="L34" s="170"/>
      <c r="M34" s="145"/>
      <c r="N34" s="145"/>
      <c r="O34" s="145"/>
      <c r="P34" s="145"/>
      <c r="Q34" s="145"/>
      <c r="R34" s="145"/>
      <c r="S34" s="145"/>
      <c r="T34" s="145"/>
      <c r="W34" s="149"/>
      <c r="X34" s="149"/>
      <c r="Y34" s="149"/>
      <c r="Z34" s="149"/>
      <c r="AA34" s="150"/>
      <c r="AB34" s="150"/>
      <c r="AC34" s="150"/>
      <c r="AD34" s="150"/>
      <c r="AE34" s="150"/>
      <c r="AF34" s="150"/>
      <c r="AG34" s="150"/>
      <c r="AH34" s="150"/>
      <c r="AI34" s="150"/>
    </row>
    <row r="35" spans="1:35" s="148" customFormat="1" x14ac:dyDescent="0.25">
      <c r="A35" s="67" t="s">
        <v>173</v>
      </c>
      <c r="B35" s="45"/>
      <c r="C35" s="42">
        <v>0</v>
      </c>
      <c r="D35" s="37" t="s">
        <v>44</v>
      </c>
      <c r="E35" s="55">
        <v>0</v>
      </c>
      <c r="F35" s="133">
        <f t="shared" si="3"/>
        <v>0</v>
      </c>
      <c r="G35" s="133" t="e">
        <f t="shared" si="2"/>
        <v>#DIV/0!</v>
      </c>
      <c r="H35" s="170"/>
      <c r="I35" s="147"/>
      <c r="J35" s="145"/>
      <c r="K35" s="145"/>
      <c r="L35" s="170"/>
      <c r="M35" s="145"/>
      <c r="N35" s="145"/>
      <c r="O35" s="145"/>
      <c r="P35" s="145"/>
      <c r="Q35" s="145"/>
      <c r="R35" s="145"/>
      <c r="S35" s="145"/>
      <c r="T35" s="145"/>
      <c r="W35" s="149"/>
      <c r="X35" s="149"/>
      <c r="Y35" s="149"/>
      <c r="Z35" s="149"/>
      <c r="AA35" s="150"/>
      <c r="AB35" s="150"/>
      <c r="AC35" s="150"/>
      <c r="AD35" s="150"/>
      <c r="AE35" s="150"/>
      <c r="AF35" s="150"/>
      <c r="AG35" s="150"/>
      <c r="AH35" s="150"/>
      <c r="AI35" s="150"/>
    </row>
    <row r="36" spans="1:35" s="148" customFormat="1" x14ac:dyDescent="0.25">
      <c r="A36" s="67" t="s">
        <v>174</v>
      </c>
      <c r="B36" s="45"/>
      <c r="C36" s="42">
        <v>0</v>
      </c>
      <c r="D36" s="37" t="s">
        <v>44</v>
      </c>
      <c r="E36" s="55">
        <v>0</v>
      </c>
      <c r="F36" s="133">
        <f>C36*E36</f>
        <v>0</v>
      </c>
      <c r="G36" s="133" t="e">
        <f>F36*$B$8</f>
        <v>#DIV/0!</v>
      </c>
      <c r="H36" s="170"/>
      <c r="I36" s="147"/>
      <c r="J36" s="145"/>
      <c r="K36" s="145"/>
      <c r="L36" s="170"/>
      <c r="M36" s="145"/>
      <c r="N36" s="145"/>
      <c r="O36" s="145"/>
      <c r="P36" s="145"/>
      <c r="Q36" s="145"/>
      <c r="R36" s="145"/>
      <c r="S36" s="145"/>
      <c r="T36" s="145"/>
      <c r="W36" s="149"/>
      <c r="X36" s="149"/>
      <c r="Y36" s="149"/>
      <c r="Z36" s="149"/>
      <c r="AA36" s="150"/>
      <c r="AB36" s="150"/>
      <c r="AC36" s="150"/>
      <c r="AD36" s="150"/>
      <c r="AE36" s="150"/>
      <c r="AF36" s="150"/>
      <c r="AG36" s="150"/>
      <c r="AH36" s="150"/>
      <c r="AI36" s="150"/>
    </row>
    <row r="37" spans="1:35" s="148" customFormat="1" x14ac:dyDescent="0.25">
      <c r="A37" s="67" t="s">
        <v>189</v>
      </c>
      <c r="B37" s="45"/>
      <c r="C37" s="42">
        <v>0</v>
      </c>
      <c r="D37" s="37" t="s">
        <v>44</v>
      </c>
      <c r="E37" s="55">
        <v>0</v>
      </c>
      <c r="F37" s="133">
        <f>C37*E37</f>
        <v>0</v>
      </c>
      <c r="G37" s="133" t="e">
        <f>F37*$B$8</f>
        <v>#DIV/0!</v>
      </c>
      <c r="H37" s="170"/>
      <c r="I37" s="147"/>
      <c r="J37" s="145"/>
      <c r="K37" s="145"/>
      <c r="L37" s="170"/>
      <c r="M37" s="145"/>
      <c r="N37" s="145"/>
      <c r="O37" s="145"/>
      <c r="P37" s="145"/>
      <c r="Q37" s="145"/>
      <c r="R37" s="145"/>
      <c r="S37" s="145"/>
      <c r="T37" s="145"/>
      <c r="W37" s="149"/>
      <c r="X37" s="149"/>
      <c r="Y37" s="149"/>
      <c r="Z37" s="149"/>
      <c r="AA37" s="150"/>
      <c r="AB37" s="150"/>
      <c r="AC37" s="150"/>
      <c r="AD37" s="150"/>
      <c r="AE37" s="150"/>
      <c r="AF37" s="150"/>
      <c r="AG37" s="150"/>
      <c r="AH37" s="150"/>
      <c r="AI37" s="150"/>
    </row>
    <row r="38" spans="1:35" s="148" customFormat="1" x14ac:dyDescent="0.25">
      <c r="A38" s="67" t="s">
        <v>134</v>
      </c>
      <c r="B38" s="45"/>
      <c r="C38" s="42">
        <v>0</v>
      </c>
      <c r="D38" s="37" t="s">
        <v>44</v>
      </c>
      <c r="E38" s="55">
        <v>0</v>
      </c>
      <c r="F38" s="133">
        <f t="shared" si="3"/>
        <v>0</v>
      </c>
      <c r="G38" s="133" t="e">
        <f t="shared" si="2"/>
        <v>#DIV/0!</v>
      </c>
      <c r="H38" s="170"/>
      <c r="I38" s="147"/>
      <c r="J38" s="145"/>
      <c r="K38" s="145"/>
      <c r="L38" s="170"/>
      <c r="M38" s="145"/>
      <c r="N38" s="145"/>
      <c r="O38" s="145"/>
      <c r="P38" s="145"/>
      <c r="Q38" s="145"/>
      <c r="R38" s="145"/>
      <c r="S38" s="145"/>
      <c r="T38" s="145"/>
      <c r="W38" s="149"/>
      <c r="X38" s="149"/>
      <c r="Y38" s="149"/>
      <c r="Z38" s="149"/>
      <c r="AA38" s="150"/>
      <c r="AB38" s="150"/>
      <c r="AC38" s="150"/>
      <c r="AD38" s="150"/>
      <c r="AE38" s="150"/>
      <c r="AF38" s="150"/>
      <c r="AG38" s="150"/>
      <c r="AH38" s="150"/>
      <c r="AI38" s="150"/>
    </row>
    <row r="39" spans="1:35" s="148" customFormat="1" x14ac:dyDescent="0.25">
      <c r="A39" s="67" t="s">
        <v>110</v>
      </c>
      <c r="B39" s="45"/>
      <c r="C39" s="42">
        <v>0</v>
      </c>
      <c r="D39" s="37" t="s">
        <v>44</v>
      </c>
      <c r="E39" s="55">
        <v>0</v>
      </c>
      <c r="F39" s="133">
        <f t="shared" si="3"/>
        <v>0</v>
      </c>
      <c r="G39" s="133" t="e">
        <f t="shared" si="2"/>
        <v>#DIV/0!</v>
      </c>
      <c r="H39" s="170"/>
      <c r="I39" s="147"/>
      <c r="J39" s="145"/>
      <c r="K39" s="145"/>
      <c r="L39" s="170"/>
      <c r="M39" s="145"/>
      <c r="N39" s="145"/>
      <c r="O39" s="145"/>
      <c r="P39" s="145"/>
      <c r="Q39" s="145"/>
      <c r="R39" s="145"/>
      <c r="S39" s="145"/>
      <c r="T39" s="145"/>
      <c r="W39" s="149"/>
      <c r="X39" s="149"/>
      <c r="Y39" s="149"/>
      <c r="Z39" s="149"/>
      <c r="AA39" s="150"/>
      <c r="AB39" s="150"/>
      <c r="AC39" s="150"/>
      <c r="AD39" s="150"/>
      <c r="AE39" s="150"/>
      <c r="AF39" s="150"/>
      <c r="AG39" s="150"/>
      <c r="AH39" s="150"/>
      <c r="AI39" s="150"/>
    </row>
    <row r="40" spans="1:35" s="148" customFormat="1" x14ac:dyDescent="0.25">
      <c r="A40" s="67" t="s">
        <v>47</v>
      </c>
      <c r="B40" s="45"/>
      <c r="C40" s="42">
        <v>0</v>
      </c>
      <c r="D40" s="37" t="s">
        <v>44</v>
      </c>
      <c r="E40" s="55">
        <v>0</v>
      </c>
      <c r="F40" s="133">
        <f t="shared" si="3"/>
        <v>0</v>
      </c>
      <c r="G40" s="133" t="e">
        <f t="shared" si="2"/>
        <v>#DIV/0!</v>
      </c>
      <c r="H40" s="170"/>
      <c r="I40" s="147"/>
      <c r="J40" s="145"/>
      <c r="K40" s="145"/>
      <c r="L40" s="170"/>
      <c r="M40" s="145"/>
      <c r="N40" s="145"/>
      <c r="O40" s="145"/>
      <c r="P40" s="145"/>
      <c r="Q40" s="145"/>
      <c r="R40" s="145"/>
      <c r="S40" s="145"/>
      <c r="T40" s="145"/>
      <c r="W40" s="149"/>
      <c r="X40" s="149"/>
      <c r="Y40" s="149"/>
      <c r="Z40" s="149"/>
      <c r="AA40" s="150"/>
      <c r="AB40" s="150"/>
      <c r="AC40" s="150"/>
      <c r="AD40" s="150"/>
      <c r="AE40" s="150"/>
      <c r="AF40" s="150"/>
      <c r="AG40" s="150"/>
      <c r="AH40" s="150"/>
      <c r="AI40" s="150"/>
    </row>
    <row r="41" spans="1:35" s="148" customFormat="1" x14ac:dyDescent="0.25">
      <c r="A41" s="67" t="s">
        <v>48</v>
      </c>
      <c r="B41" s="45"/>
      <c r="C41" s="42">
        <v>0</v>
      </c>
      <c r="D41" s="37" t="s">
        <v>49</v>
      </c>
      <c r="E41" s="55">
        <v>0</v>
      </c>
      <c r="F41" s="133">
        <f t="shared" si="3"/>
        <v>0</v>
      </c>
      <c r="G41" s="133" t="e">
        <f t="shared" si="2"/>
        <v>#DIV/0!</v>
      </c>
      <c r="H41" s="170"/>
      <c r="I41" s="147"/>
      <c r="J41" s="145"/>
      <c r="K41" s="145"/>
      <c r="L41" s="170"/>
      <c r="M41" s="145"/>
      <c r="N41" s="145"/>
      <c r="O41" s="145"/>
      <c r="P41" s="145"/>
      <c r="Q41" s="145"/>
      <c r="R41" s="145"/>
      <c r="S41" s="145"/>
      <c r="T41" s="145"/>
      <c r="W41" s="149"/>
      <c r="X41" s="149"/>
      <c r="Y41" s="149"/>
      <c r="Z41" s="149"/>
      <c r="AA41" s="150"/>
      <c r="AB41" s="150"/>
      <c r="AC41" s="150"/>
      <c r="AD41" s="150"/>
      <c r="AE41" s="150"/>
      <c r="AF41" s="150"/>
      <c r="AG41" s="150"/>
      <c r="AH41" s="150"/>
      <c r="AI41" s="150"/>
    </row>
    <row r="42" spans="1:35" s="148" customFormat="1" x14ac:dyDescent="0.25">
      <c r="A42" s="67" t="s">
        <v>126</v>
      </c>
      <c r="B42" s="45"/>
      <c r="C42" s="42">
        <v>0</v>
      </c>
      <c r="D42" s="37" t="s">
        <v>35</v>
      </c>
      <c r="E42" s="55">
        <v>0</v>
      </c>
      <c r="F42" s="133">
        <f t="shared" si="3"/>
        <v>0</v>
      </c>
      <c r="G42" s="133" t="e">
        <f t="shared" si="2"/>
        <v>#DIV/0!</v>
      </c>
      <c r="H42" s="170"/>
      <c r="I42" s="147"/>
      <c r="J42" s="145"/>
      <c r="K42" s="145"/>
      <c r="L42" s="170"/>
      <c r="M42" s="145"/>
      <c r="N42" s="145"/>
      <c r="O42" s="145"/>
      <c r="P42" s="145"/>
      <c r="Q42" s="145"/>
      <c r="R42" s="145"/>
      <c r="S42" s="145"/>
      <c r="T42" s="145"/>
      <c r="W42" s="149"/>
      <c r="X42" s="149"/>
      <c r="Y42" s="149"/>
      <c r="Z42" s="149"/>
      <c r="AA42" s="150"/>
      <c r="AB42" s="150"/>
      <c r="AC42" s="150"/>
      <c r="AD42" s="150"/>
      <c r="AE42" s="150"/>
      <c r="AF42" s="150"/>
      <c r="AG42" s="150"/>
      <c r="AH42" s="150"/>
      <c r="AI42" s="150"/>
    </row>
    <row r="43" spans="1:35" s="148" customFormat="1" x14ac:dyDescent="0.25">
      <c r="A43" s="67" t="s">
        <v>50</v>
      </c>
      <c r="B43" s="45"/>
      <c r="C43" s="42">
        <v>0</v>
      </c>
      <c r="D43" s="37" t="s">
        <v>35</v>
      </c>
      <c r="E43" s="55">
        <v>0</v>
      </c>
      <c r="F43" s="133">
        <f t="shared" si="3"/>
        <v>0</v>
      </c>
      <c r="G43" s="133" t="e">
        <f t="shared" si="2"/>
        <v>#DIV/0!</v>
      </c>
      <c r="H43" s="170"/>
      <c r="I43" s="147"/>
      <c r="J43" s="145"/>
      <c r="K43" s="145"/>
      <c r="L43" s="170"/>
      <c r="M43" s="145"/>
      <c r="N43" s="145"/>
      <c r="O43" s="145"/>
      <c r="P43" s="145"/>
      <c r="Q43" s="145"/>
      <c r="R43" s="145"/>
      <c r="S43" s="145"/>
      <c r="T43" s="145"/>
      <c r="W43" s="149"/>
      <c r="X43" s="149"/>
      <c r="Y43" s="149"/>
      <c r="Z43" s="149"/>
      <c r="AA43" s="150"/>
      <c r="AB43" s="150"/>
      <c r="AC43" s="150"/>
      <c r="AD43" s="150"/>
      <c r="AE43" s="150"/>
      <c r="AF43" s="150"/>
      <c r="AG43" s="150"/>
      <c r="AH43" s="150"/>
      <c r="AI43" s="150"/>
    </row>
    <row r="44" spans="1:35" s="148" customFormat="1" ht="27.6" x14ac:dyDescent="0.25">
      <c r="A44" s="67" t="s">
        <v>86</v>
      </c>
      <c r="B44" s="45"/>
      <c r="C44" s="42">
        <v>0</v>
      </c>
      <c r="D44" s="37" t="s">
        <v>35</v>
      </c>
      <c r="E44" s="55">
        <v>0</v>
      </c>
      <c r="F44" s="133">
        <f t="shared" si="3"/>
        <v>0</v>
      </c>
      <c r="G44" s="133" t="e">
        <f t="shared" si="2"/>
        <v>#DIV/0!</v>
      </c>
      <c r="H44" s="170"/>
      <c r="I44" s="147"/>
      <c r="J44" s="145"/>
      <c r="K44" s="145"/>
      <c r="L44" s="170"/>
      <c r="M44" s="145"/>
      <c r="N44" s="145"/>
      <c r="O44" s="145"/>
      <c r="P44" s="145"/>
      <c r="Q44" s="145"/>
      <c r="R44" s="145"/>
      <c r="S44" s="145"/>
      <c r="T44" s="145"/>
      <c r="W44" s="149"/>
      <c r="X44" s="149"/>
      <c r="Y44" s="149"/>
      <c r="Z44" s="149"/>
      <c r="AA44" s="150"/>
      <c r="AB44" s="150"/>
      <c r="AC44" s="150"/>
      <c r="AD44" s="150"/>
      <c r="AE44" s="150"/>
      <c r="AF44" s="150"/>
      <c r="AG44" s="150"/>
      <c r="AH44" s="150"/>
      <c r="AI44" s="150"/>
    </row>
    <row r="45" spans="1:35" s="148" customFormat="1" x14ac:dyDescent="0.25">
      <c r="A45" s="67" t="s">
        <v>175</v>
      </c>
      <c r="B45" s="45"/>
      <c r="C45" s="42">
        <v>0</v>
      </c>
      <c r="D45" s="37" t="s">
        <v>56</v>
      </c>
      <c r="E45" s="55">
        <v>0</v>
      </c>
      <c r="F45" s="133">
        <f t="shared" si="3"/>
        <v>0</v>
      </c>
      <c r="G45" s="133" t="e">
        <f t="shared" si="2"/>
        <v>#DIV/0!</v>
      </c>
      <c r="H45" s="170"/>
      <c r="I45" s="147"/>
      <c r="J45" s="145"/>
      <c r="K45" s="145"/>
      <c r="L45" s="170"/>
      <c r="M45" s="145"/>
      <c r="N45" s="145"/>
      <c r="O45" s="145"/>
      <c r="P45" s="145"/>
      <c r="Q45" s="145"/>
      <c r="R45" s="145"/>
      <c r="S45" s="145"/>
      <c r="T45" s="145"/>
      <c r="W45" s="149"/>
      <c r="X45" s="149"/>
      <c r="Y45" s="149"/>
      <c r="Z45" s="149"/>
      <c r="AA45" s="150"/>
      <c r="AB45" s="150"/>
      <c r="AC45" s="150"/>
      <c r="AD45" s="150"/>
      <c r="AE45" s="150"/>
      <c r="AF45" s="150"/>
      <c r="AG45" s="150"/>
      <c r="AH45" s="150"/>
      <c r="AI45" s="150"/>
    </row>
    <row r="46" spans="1:35" s="148" customFormat="1" x14ac:dyDescent="0.25">
      <c r="A46" s="67" t="s">
        <v>64</v>
      </c>
      <c r="B46" s="45"/>
      <c r="C46" s="42">
        <v>0</v>
      </c>
      <c r="D46" s="37" t="s">
        <v>35</v>
      </c>
      <c r="E46" s="55">
        <v>0</v>
      </c>
      <c r="F46" s="133">
        <f t="shared" si="3"/>
        <v>0</v>
      </c>
      <c r="G46" s="133" t="e">
        <f t="shared" si="2"/>
        <v>#DIV/0!</v>
      </c>
      <c r="H46" s="170"/>
      <c r="I46" s="147"/>
      <c r="J46" s="145"/>
      <c r="K46" s="145"/>
      <c r="L46" s="170"/>
      <c r="M46" s="145"/>
      <c r="N46" s="145"/>
      <c r="O46" s="145"/>
      <c r="P46" s="145"/>
      <c r="Q46" s="145"/>
      <c r="R46" s="145"/>
      <c r="S46" s="145"/>
      <c r="T46" s="145"/>
      <c r="W46" s="149"/>
      <c r="X46" s="149"/>
      <c r="Y46" s="149"/>
      <c r="Z46" s="149"/>
      <c r="AA46" s="150"/>
      <c r="AB46" s="150"/>
      <c r="AC46" s="150"/>
      <c r="AD46" s="150"/>
      <c r="AE46" s="150"/>
      <c r="AF46" s="150"/>
      <c r="AG46" s="150"/>
      <c r="AH46" s="150"/>
      <c r="AI46" s="150"/>
    </row>
    <row r="47" spans="1:35" s="148" customFormat="1" x14ac:dyDescent="0.25">
      <c r="A47" s="180"/>
      <c r="B47" s="181" t="s">
        <v>52</v>
      </c>
      <c r="C47" s="182"/>
      <c r="D47" s="181"/>
      <c r="E47" s="183"/>
      <c r="F47" s="56">
        <f>SUM(F32:F46)</f>
        <v>0</v>
      </c>
      <c r="G47" s="134">
        <f>F47*$B$4</f>
        <v>0</v>
      </c>
      <c r="H47" s="170"/>
      <c r="I47" s="147"/>
      <c r="J47" s="145"/>
      <c r="K47" s="145"/>
      <c r="L47" s="170"/>
      <c r="M47" s="145"/>
      <c r="N47" s="145"/>
      <c r="O47" s="145"/>
      <c r="P47" s="145"/>
      <c r="Q47" s="145"/>
      <c r="R47" s="145"/>
      <c r="S47" s="145"/>
      <c r="T47" s="145"/>
      <c r="W47" s="149"/>
      <c r="X47" s="149"/>
      <c r="Y47" s="149"/>
      <c r="Z47" s="149"/>
      <c r="AA47" s="150"/>
      <c r="AB47" s="150"/>
      <c r="AC47" s="150"/>
      <c r="AD47" s="150"/>
      <c r="AE47" s="150"/>
      <c r="AF47" s="150"/>
      <c r="AG47" s="150"/>
      <c r="AH47" s="150"/>
      <c r="AI47" s="150"/>
    </row>
    <row r="48" spans="1:35" s="148" customFormat="1" x14ac:dyDescent="0.25">
      <c r="A48" s="125" t="s">
        <v>102</v>
      </c>
      <c r="B48" s="122"/>
      <c r="C48" s="41">
        <v>0</v>
      </c>
      <c r="D48" s="123" t="s">
        <v>62</v>
      </c>
      <c r="E48" s="139" t="b">
        <f>IF(Investeringskalkyl!C14="slaktungnöt",Investeringskalkyl!F66)</f>
        <v>0</v>
      </c>
      <c r="F48" s="133">
        <f>C48/100*E48</f>
        <v>0</v>
      </c>
      <c r="G48" s="133" t="e">
        <f>F48*$B$8</f>
        <v>#DIV/0!</v>
      </c>
      <c r="H48" s="170"/>
      <c r="I48" s="147"/>
      <c r="J48" s="145"/>
      <c r="K48" s="145"/>
      <c r="L48" s="170"/>
      <c r="M48" s="145"/>
      <c r="N48" s="145"/>
      <c r="O48" s="145"/>
      <c r="P48" s="145"/>
      <c r="Q48" s="145"/>
      <c r="R48" s="145"/>
      <c r="S48" s="145"/>
      <c r="T48" s="145"/>
      <c r="W48" s="149"/>
      <c r="X48" s="149"/>
      <c r="Y48" s="149"/>
      <c r="Z48" s="149"/>
      <c r="AA48" s="150"/>
      <c r="AB48" s="150"/>
      <c r="AC48" s="150"/>
      <c r="AD48" s="150"/>
      <c r="AE48" s="150"/>
      <c r="AF48" s="150"/>
      <c r="AG48" s="150"/>
      <c r="AH48" s="150"/>
      <c r="AI48" s="150"/>
    </row>
    <row r="49" spans="1:37" s="148" customFormat="1" x14ac:dyDescent="0.25">
      <c r="A49" s="125" t="s">
        <v>53</v>
      </c>
      <c r="B49" s="184" t="s">
        <v>72</v>
      </c>
      <c r="C49" s="138">
        <f>($E$32+$E$33)</f>
        <v>0</v>
      </c>
      <c r="D49" s="123" t="s">
        <v>35</v>
      </c>
      <c r="E49" s="137">
        <f>Investeringskalkyl!$B$23</f>
        <v>0.05</v>
      </c>
      <c r="F49" s="133">
        <f>C49*E49</f>
        <v>0</v>
      </c>
      <c r="G49" s="133" t="e">
        <f>F49*$B$8</f>
        <v>#DIV/0!</v>
      </c>
      <c r="H49" s="170"/>
      <c r="I49" s="147"/>
      <c r="J49" s="145"/>
      <c r="K49" s="145"/>
      <c r="L49" s="170"/>
      <c r="M49" s="145"/>
      <c r="N49" s="145"/>
      <c r="O49" s="145"/>
      <c r="P49" s="145"/>
      <c r="Q49" s="145"/>
      <c r="R49" s="145"/>
      <c r="S49" s="145"/>
      <c r="T49" s="145"/>
      <c r="W49" s="149"/>
      <c r="X49" s="149"/>
      <c r="Y49" s="149"/>
      <c r="Z49" s="149"/>
      <c r="AA49" s="150"/>
      <c r="AB49" s="150"/>
      <c r="AC49" s="150"/>
      <c r="AD49" s="150"/>
      <c r="AE49" s="150"/>
      <c r="AF49" s="150"/>
      <c r="AG49" s="150"/>
      <c r="AH49" s="150"/>
      <c r="AI49" s="150"/>
    </row>
    <row r="50" spans="1:37" s="148" customFormat="1" x14ac:dyDescent="0.25">
      <c r="A50" s="125" t="s">
        <v>128</v>
      </c>
      <c r="B50" s="184" t="s">
        <v>72</v>
      </c>
      <c r="C50" s="138">
        <f>(($F$47-$F$32-$F$33)+SUM(F54:F58))/2</f>
        <v>0</v>
      </c>
      <c r="D50" s="123" t="s">
        <v>35</v>
      </c>
      <c r="E50" s="137">
        <f>Investeringskalkyl!$B$23</f>
        <v>0.05</v>
      </c>
      <c r="F50" s="133">
        <f>C50*E50</f>
        <v>0</v>
      </c>
      <c r="G50" s="133" t="e">
        <f>F50*$B$8</f>
        <v>#DIV/0!</v>
      </c>
      <c r="H50" s="170"/>
      <c r="I50" s="147"/>
      <c r="J50" s="145"/>
      <c r="K50" s="145"/>
      <c r="L50" s="170"/>
      <c r="M50" s="145"/>
      <c r="N50" s="145"/>
      <c r="O50" s="145"/>
      <c r="P50" s="145"/>
      <c r="Q50" s="145"/>
      <c r="R50" s="145"/>
      <c r="S50" s="145"/>
      <c r="T50" s="145"/>
      <c r="W50" s="149"/>
      <c r="X50" s="149"/>
      <c r="Y50" s="149"/>
      <c r="Z50" s="149"/>
      <c r="AA50" s="150"/>
      <c r="AB50" s="150"/>
      <c r="AC50" s="150"/>
      <c r="AD50" s="150"/>
      <c r="AE50" s="150"/>
      <c r="AF50" s="150"/>
      <c r="AG50" s="150"/>
      <c r="AH50" s="150"/>
      <c r="AI50" s="150"/>
    </row>
    <row r="51" spans="1:37" s="148" customFormat="1" x14ac:dyDescent="0.25">
      <c r="A51" s="67"/>
      <c r="B51" s="51"/>
      <c r="C51" s="42"/>
      <c r="D51" s="44"/>
      <c r="E51" s="86"/>
      <c r="F51" s="133">
        <f>C51*E51</f>
        <v>0</v>
      </c>
      <c r="G51" s="133" t="e">
        <f>F51*$B$8</f>
        <v>#DIV/0!</v>
      </c>
      <c r="H51" s="170"/>
      <c r="I51" s="147"/>
      <c r="J51" s="145"/>
      <c r="K51" s="145"/>
      <c r="L51" s="170"/>
      <c r="M51" s="145"/>
      <c r="N51" s="145"/>
      <c r="O51" s="145"/>
      <c r="P51" s="145"/>
      <c r="Q51" s="145"/>
      <c r="R51" s="145"/>
      <c r="S51" s="145"/>
      <c r="T51" s="145"/>
      <c r="W51" s="149"/>
      <c r="X51" s="149"/>
      <c r="Y51" s="149"/>
      <c r="Z51" s="149"/>
      <c r="AA51" s="150"/>
      <c r="AB51" s="150"/>
      <c r="AC51" s="150"/>
      <c r="AD51" s="150"/>
      <c r="AE51" s="150"/>
      <c r="AF51" s="150"/>
      <c r="AG51" s="150"/>
      <c r="AH51" s="150"/>
      <c r="AI51" s="150"/>
    </row>
    <row r="52" spans="1:37" s="148" customFormat="1" x14ac:dyDescent="0.25">
      <c r="A52" s="185"/>
      <c r="B52" s="181" t="s">
        <v>54</v>
      </c>
      <c r="C52" s="186" t="s">
        <v>34</v>
      </c>
      <c r="D52" s="181"/>
      <c r="E52" s="183" t="s">
        <v>34</v>
      </c>
      <c r="F52" s="56">
        <f>SUM(F48:F51)</f>
        <v>0</v>
      </c>
      <c r="G52" s="134">
        <f>F52*$B$4</f>
        <v>0</v>
      </c>
      <c r="H52" s="170"/>
      <c r="I52" s="147"/>
      <c r="J52" s="145"/>
      <c r="K52" s="145"/>
      <c r="L52" s="170"/>
      <c r="M52" s="145"/>
      <c r="N52" s="145"/>
      <c r="O52" s="145"/>
      <c r="P52" s="145"/>
      <c r="Q52" s="145"/>
      <c r="R52" s="145"/>
      <c r="S52" s="145"/>
      <c r="T52" s="145"/>
      <c r="W52" s="149"/>
      <c r="X52" s="149"/>
      <c r="Y52" s="149"/>
      <c r="Z52" s="149"/>
      <c r="AA52" s="150"/>
      <c r="AB52" s="150"/>
      <c r="AC52" s="150"/>
      <c r="AD52" s="150"/>
      <c r="AE52" s="150"/>
      <c r="AF52" s="150"/>
      <c r="AG52" s="150"/>
      <c r="AH52" s="150"/>
      <c r="AI52" s="150"/>
    </row>
    <row r="53" spans="1:37" s="148" customFormat="1" x14ac:dyDescent="0.25">
      <c r="A53" s="125" t="s">
        <v>55</v>
      </c>
      <c r="B53" s="184" t="s">
        <v>72</v>
      </c>
      <c r="C53" s="42">
        <f>IF(Investeringskalkyl!$C$14="slaktungnöt",1,0)</f>
        <v>0</v>
      </c>
      <c r="D53" s="124" t="s">
        <v>35</v>
      </c>
      <c r="E53" s="139">
        <f>Investeringskalkyl!$F$67*(Investeringskalkyl!$B$23/(1-(1+Investeringskalkyl!$B$23)^(-Investeringskalkyl!$B$26)))</f>
        <v>1972.5168308916927</v>
      </c>
      <c r="F53" s="133">
        <f t="shared" ref="F53:F58" si="4">C53*E53</f>
        <v>0</v>
      </c>
      <c r="G53" s="133" t="e">
        <f t="shared" ref="G53:G58" si="5">F53*$B$8</f>
        <v>#DIV/0!</v>
      </c>
      <c r="H53" s="170"/>
      <c r="I53" s="147"/>
      <c r="J53" s="145"/>
      <c r="K53" s="145"/>
      <c r="L53" s="170"/>
      <c r="M53" s="145"/>
      <c r="N53" s="145"/>
      <c r="O53" s="145"/>
      <c r="P53" s="145"/>
      <c r="Q53" s="145"/>
      <c r="R53" s="145"/>
      <c r="S53" s="145"/>
      <c r="T53" s="145"/>
      <c r="W53" s="149"/>
      <c r="X53" s="149"/>
      <c r="Y53" s="149"/>
      <c r="Z53" s="149"/>
      <c r="AA53" s="150"/>
      <c r="AB53" s="150"/>
      <c r="AC53" s="150"/>
      <c r="AD53" s="150"/>
      <c r="AE53" s="150"/>
      <c r="AF53" s="150"/>
      <c r="AG53" s="150"/>
      <c r="AH53" s="150"/>
      <c r="AI53" s="150"/>
    </row>
    <row r="54" spans="1:37" s="148" customFormat="1" x14ac:dyDescent="0.25">
      <c r="A54" s="67" t="s">
        <v>67</v>
      </c>
      <c r="B54" s="45"/>
      <c r="C54" s="42">
        <v>0</v>
      </c>
      <c r="D54" s="37" t="s">
        <v>34</v>
      </c>
      <c r="E54" s="53">
        <v>0</v>
      </c>
      <c r="F54" s="133">
        <f t="shared" si="4"/>
        <v>0</v>
      </c>
      <c r="G54" s="133" t="e">
        <f t="shared" si="5"/>
        <v>#DIV/0!</v>
      </c>
      <c r="H54" s="170"/>
      <c r="I54" s="147"/>
      <c r="J54" s="145"/>
      <c r="K54" s="145"/>
      <c r="L54" s="170"/>
      <c r="M54" s="145"/>
      <c r="N54" s="145"/>
      <c r="O54" s="145"/>
      <c r="P54" s="145"/>
      <c r="Q54" s="145"/>
      <c r="R54" s="145"/>
      <c r="S54" s="145"/>
      <c r="T54" s="145"/>
      <c r="W54" s="149"/>
      <c r="X54" s="149"/>
      <c r="Y54" s="149"/>
      <c r="Z54" s="149"/>
      <c r="AA54" s="150"/>
      <c r="AB54" s="150"/>
      <c r="AC54" s="150"/>
      <c r="AD54" s="150"/>
      <c r="AE54" s="150"/>
      <c r="AF54" s="150"/>
      <c r="AG54" s="150"/>
      <c r="AH54" s="150"/>
      <c r="AI54" s="150"/>
    </row>
    <row r="55" spans="1:37" s="148" customFormat="1" x14ac:dyDescent="0.25">
      <c r="A55" s="67" t="s">
        <v>68</v>
      </c>
      <c r="B55" s="52"/>
      <c r="C55" s="42">
        <v>0</v>
      </c>
      <c r="D55" s="37"/>
      <c r="E55" s="54">
        <v>0</v>
      </c>
      <c r="F55" s="133">
        <f t="shared" si="4"/>
        <v>0</v>
      </c>
      <c r="G55" s="133" t="e">
        <f t="shared" si="5"/>
        <v>#DIV/0!</v>
      </c>
      <c r="H55" s="145"/>
      <c r="I55" s="147"/>
      <c r="J55" s="147"/>
      <c r="K55" s="145"/>
      <c r="L55" s="170"/>
      <c r="M55" s="145"/>
      <c r="N55" s="145"/>
      <c r="O55" s="145"/>
      <c r="P55" s="145"/>
      <c r="Q55" s="145"/>
      <c r="R55" s="145"/>
      <c r="S55" s="145"/>
      <c r="T55" s="145"/>
      <c r="W55" s="149"/>
      <c r="X55" s="149"/>
      <c r="Y55" s="149"/>
      <c r="Z55" s="149"/>
      <c r="AA55" s="150"/>
      <c r="AB55" s="150"/>
      <c r="AC55" s="150"/>
      <c r="AD55" s="150"/>
      <c r="AE55" s="150"/>
      <c r="AF55" s="150"/>
      <c r="AG55" s="150"/>
      <c r="AH55" s="150"/>
      <c r="AI55" s="150"/>
    </row>
    <row r="56" spans="1:37" s="148" customFormat="1" x14ac:dyDescent="0.25">
      <c r="A56" s="67" t="s">
        <v>61</v>
      </c>
      <c r="B56" s="45"/>
      <c r="C56" s="42">
        <v>0</v>
      </c>
      <c r="D56" s="37" t="s">
        <v>56</v>
      </c>
      <c r="E56" s="55">
        <v>220</v>
      </c>
      <c r="F56" s="133">
        <f t="shared" si="4"/>
        <v>0</v>
      </c>
      <c r="G56" s="133" t="e">
        <f t="shared" si="5"/>
        <v>#DIV/0!</v>
      </c>
      <c r="H56" s="170"/>
      <c r="I56" s="147"/>
      <c r="J56" s="145"/>
      <c r="K56" s="145"/>
      <c r="L56" s="170"/>
      <c r="M56" s="145"/>
      <c r="N56" s="145"/>
      <c r="O56" s="145"/>
      <c r="P56" s="145"/>
      <c r="Q56" s="145"/>
      <c r="R56" s="145"/>
      <c r="S56" s="145"/>
      <c r="T56" s="145"/>
      <c r="W56" s="149"/>
      <c r="X56" s="149"/>
      <c r="Y56" s="149"/>
      <c r="Z56" s="149"/>
      <c r="AA56" s="150"/>
      <c r="AB56" s="150"/>
      <c r="AC56" s="150"/>
      <c r="AD56" s="150"/>
      <c r="AE56" s="150"/>
      <c r="AF56" s="150"/>
      <c r="AG56" s="150"/>
      <c r="AH56" s="150"/>
      <c r="AI56" s="150"/>
    </row>
    <row r="57" spans="1:37" s="148" customFormat="1" x14ac:dyDescent="0.25">
      <c r="A57" s="67" t="s">
        <v>111</v>
      </c>
      <c r="B57" s="45"/>
      <c r="C57" s="42">
        <v>0</v>
      </c>
      <c r="D57" s="37" t="s">
        <v>56</v>
      </c>
      <c r="E57" s="55"/>
      <c r="F57" s="133">
        <f t="shared" si="4"/>
        <v>0</v>
      </c>
      <c r="G57" s="133" t="e">
        <f t="shared" si="5"/>
        <v>#DIV/0!</v>
      </c>
      <c r="H57" s="170"/>
      <c r="I57" s="147"/>
      <c r="J57" s="145"/>
      <c r="K57" s="145"/>
      <c r="L57" s="170"/>
      <c r="M57" s="145"/>
      <c r="N57" s="145"/>
      <c r="O57" s="145"/>
      <c r="P57" s="145"/>
      <c r="Q57" s="145"/>
      <c r="R57" s="145"/>
      <c r="S57" s="145"/>
      <c r="T57" s="145"/>
      <c r="W57" s="149"/>
      <c r="X57" s="149"/>
      <c r="Y57" s="149"/>
      <c r="Z57" s="149"/>
      <c r="AA57" s="150"/>
      <c r="AB57" s="150"/>
      <c r="AC57" s="150"/>
      <c r="AD57" s="150"/>
      <c r="AE57" s="150"/>
      <c r="AF57" s="150"/>
      <c r="AG57" s="150"/>
      <c r="AH57" s="150"/>
      <c r="AI57" s="150"/>
    </row>
    <row r="58" spans="1:37" s="148" customFormat="1" x14ac:dyDescent="0.25">
      <c r="A58" s="67"/>
      <c r="B58" s="45"/>
      <c r="C58" s="42"/>
      <c r="D58" s="37"/>
      <c r="E58" s="55"/>
      <c r="F58" s="133">
        <f t="shared" si="4"/>
        <v>0</v>
      </c>
      <c r="G58" s="133" t="e">
        <f t="shared" si="5"/>
        <v>#DIV/0!</v>
      </c>
      <c r="H58" s="170"/>
      <c r="I58" s="147"/>
      <c r="J58" s="145"/>
      <c r="K58" s="145"/>
      <c r="L58" s="170"/>
      <c r="M58" s="145"/>
      <c r="N58" s="145"/>
      <c r="O58" s="145"/>
      <c r="P58" s="145"/>
      <c r="Q58" s="145"/>
      <c r="R58" s="145"/>
      <c r="S58" s="145"/>
      <c r="T58" s="145"/>
      <c r="W58" s="149"/>
      <c r="X58" s="149"/>
      <c r="Y58" s="149"/>
      <c r="Z58" s="149"/>
      <c r="AA58" s="150"/>
      <c r="AB58" s="150"/>
      <c r="AC58" s="150"/>
      <c r="AD58" s="150"/>
      <c r="AE58" s="150"/>
      <c r="AF58" s="150"/>
      <c r="AG58" s="150"/>
      <c r="AH58" s="150"/>
      <c r="AI58" s="150"/>
    </row>
    <row r="59" spans="1:37" s="148" customFormat="1" x14ac:dyDescent="0.25">
      <c r="A59" s="187"/>
      <c r="B59" s="181" t="s">
        <v>57</v>
      </c>
      <c r="C59" s="182"/>
      <c r="D59" s="181"/>
      <c r="E59" s="188"/>
      <c r="F59" s="56">
        <f>SUM(F53:F58)</f>
        <v>0</v>
      </c>
      <c r="G59" s="134">
        <f>F59*$B$4</f>
        <v>0</v>
      </c>
      <c r="H59" s="145"/>
      <c r="I59" s="147"/>
      <c r="J59" s="147"/>
      <c r="K59" s="145"/>
      <c r="L59" s="170"/>
      <c r="M59" s="145"/>
      <c r="N59" s="145"/>
      <c r="O59" s="145"/>
      <c r="P59" s="145"/>
      <c r="Q59" s="145"/>
      <c r="R59" s="145"/>
      <c r="S59" s="145"/>
      <c r="T59" s="145"/>
      <c r="W59" s="149"/>
      <c r="X59" s="149"/>
      <c r="Y59" s="149"/>
      <c r="Z59" s="149"/>
      <c r="AA59" s="150"/>
      <c r="AB59" s="150"/>
      <c r="AC59" s="150"/>
      <c r="AD59" s="150"/>
      <c r="AE59" s="150"/>
      <c r="AF59" s="150"/>
      <c r="AG59" s="150"/>
      <c r="AH59" s="150"/>
      <c r="AI59" s="150"/>
    </row>
    <row r="60" spans="1:37" s="148" customFormat="1" x14ac:dyDescent="0.25">
      <c r="A60" s="180" t="s">
        <v>73</v>
      </c>
      <c r="B60" s="181"/>
      <c r="C60" s="182"/>
      <c r="D60" s="181"/>
      <c r="E60" s="188"/>
      <c r="F60" s="56">
        <f>$F$47+$F$52+$F$59</f>
        <v>0</v>
      </c>
      <c r="G60" s="134">
        <f>F60*$B$4</f>
        <v>0</v>
      </c>
      <c r="H60" s="145"/>
      <c r="I60" s="147"/>
      <c r="J60" s="147"/>
      <c r="K60" s="145"/>
      <c r="L60" s="170"/>
      <c r="M60" s="145"/>
      <c r="N60" s="145"/>
      <c r="O60" s="145"/>
      <c r="P60" s="145"/>
      <c r="Q60" s="145"/>
      <c r="R60" s="145"/>
      <c r="S60" s="145"/>
      <c r="T60" s="145"/>
      <c r="W60" s="149"/>
      <c r="X60" s="149"/>
      <c r="Y60" s="149"/>
      <c r="Z60" s="149"/>
      <c r="AA60" s="150"/>
      <c r="AB60" s="150"/>
      <c r="AC60" s="150"/>
      <c r="AD60" s="150"/>
      <c r="AE60" s="150"/>
      <c r="AF60" s="150"/>
      <c r="AG60" s="150"/>
      <c r="AH60" s="150"/>
      <c r="AI60" s="150"/>
    </row>
    <row r="61" spans="1:37" s="148" customFormat="1" x14ac:dyDescent="0.25">
      <c r="A61" s="125"/>
      <c r="B61" s="145"/>
      <c r="C61" s="145"/>
      <c r="D61" s="145"/>
      <c r="E61" s="145"/>
      <c r="F61" s="135"/>
      <c r="G61" s="206"/>
      <c r="H61" s="145"/>
      <c r="I61" s="147"/>
      <c r="J61" s="147"/>
      <c r="K61" s="145"/>
      <c r="L61" s="170"/>
      <c r="M61" s="145"/>
      <c r="N61" s="145"/>
      <c r="O61" s="145"/>
      <c r="P61" s="145"/>
      <c r="Q61" s="145"/>
      <c r="R61" s="145"/>
      <c r="S61" s="145"/>
      <c r="T61" s="145"/>
      <c r="W61" s="149"/>
      <c r="X61" s="149"/>
      <c r="Y61" s="149"/>
      <c r="Z61" s="149"/>
      <c r="AA61" s="150"/>
      <c r="AB61" s="150"/>
      <c r="AC61" s="150"/>
      <c r="AD61" s="150"/>
      <c r="AE61" s="150"/>
      <c r="AF61" s="150"/>
      <c r="AG61" s="150"/>
      <c r="AH61" s="150"/>
      <c r="AI61" s="150"/>
    </row>
    <row r="62" spans="1:37" s="148" customFormat="1" x14ac:dyDescent="0.25">
      <c r="A62" s="189"/>
      <c r="C62" s="145"/>
      <c r="D62" s="145"/>
      <c r="E62" s="190"/>
      <c r="F62" s="126"/>
      <c r="G62" s="145"/>
      <c r="H62" s="192"/>
      <c r="I62" s="192"/>
      <c r="J62" s="145"/>
      <c r="K62" s="147"/>
      <c r="L62" s="147"/>
      <c r="M62" s="147"/>
      <c r="N62" s="170"/>
      <c r="O62" s="145"/>
      <c r="P62" s="145"/>
      <c r="Q62" s="145"/>
      <c r="R62" s="145"/>
      <c r="S62" s="145"/>
      <c r="T62" s="145"/>
      <c r="U62" s="145"/>
      <c r="V62" s="145"/>
      <c r="Y62" s="149"/>
      <c r="Z62" s="149"/>
      <c r="AA62" s="149"/>
      <c r="AB62" s="149"/>
      <c r="AC62" s="150"/>
      <c r="AD62" s="150"/>
      <c r="AE62" s="150"/>
      <c r="AF62" s="150"/>
      <c r="AG62" s="150"/>
      <c r="AH62" s="150"/>
      <c r="AI62" s="150"/>
      <c r="AJ62" s="150"/>
      <c r="AK62" s="150"/>
    </row>
    <row r="63" spans="1:37" s="148" customFormat="1" x14ac:dyDescent="0.25">
      <c r="A63" s="189"/>
      <c r="C63" s="145"/>
      <c r="D63" s="145"/>
      <c r="E63" s="190"/>
      <c r="G63" s="147"/>
      <c r="H63" s="193"/>
      <c r="I63" s="192"/>
      <c r="J63" s="145"/>
      <c r="K63" s="147"/>
      <c r="L63" s="147"/>
      <c r="M63" s="147"/>
      <c r="N63" s="170"/>
      <c r="O63" s="145"/>
      <c r="P63" s="145"/>
      <c r="Q63" s="145"/>
      <c r="R63" s="145"/>
      <c r="S63" s="145"/>
      <c r="T63" s="145"/>
      <c r="U63" s="145"/>
      <c r="V63" s="145"/>
      <c r="Y63" s="149"/>
      <c r="Z63" s="149"/>
      <c r="AA63" s="149"/>
      <c r="AB63" s="149"/>
      <c r="AC63" s="150"/>
      <c r="AD63" s="150"/>
      <c r="AE63" s="150"/>
      <c r="AF63" s="150"/>
      <c r="AG63" s="150"/>
      <c r="AH63" s="150"/>
      <c r="AI63" s="150"/>
      <c r="AJ63" s="150"/>
      <c r="AK63" s="150"/>
    </row>
    <row r="64" spans="1:37" s="148" customFormat="1" x14ac:dyDescent="0.25">
      <c r="A64" s="189"/>
      <c r="C64" s="145"/>
      <c r="D64" s="145"/>
      <c r="E64" s="190"/>
      <c r="G64" s="147"/>
      <c r="H64" s="193"/>
      <c r="I64" s="192"/>
      <c r="J64" s="145"/>
      <c r="K64" s="147"/>
      <c r="L64" s="147"/>
      <c r="M64" s="147"/>
      <c r="N64" s="170"/>
      <c r="O64" s="145"/>
      <c r="P64" s="145"/>
      <c r="Q64" s="145"/>
      <c r="R64" s="145"/>
      <c r="S64" s="145"/>
      <c r="T64" s="145"/>
      <c r="U64" s="145"/>
      <c r="V64" s="145"/>
      <c r="Y64" s="149"/>
      <c r="Z64" s="149"/>
      <c r="AA64" s="149"/>
      <c r="AB64" s="149"/>
      <c r="AC64" s="150"/>
      <c r="AD64" s="150"/>
      <c r="AE64" s="150"/>
      <c r="AF64" s="150"/>
      <c r="AG64" s="150"/>
      <c r="AH64" s="150"/>
      <c r="AI64" s="150"/>
      <c r="AJ64" s="150"/>
      <c r="AK64" s="150"/>
    </row>
    <row r="65" spans="1:37" s="148" customFormat="1" x14ac:dyDescent="0.25">
      <c r="A65" s="189"/>
      <c r="C65" s="145"/>
      <c r="D65" s="145"/>
      <c r="E65" s="190"/>
      <c r="G65" s="147"/>
      <c r="H65" s="192"/>
      <c r="I65" s="192"/>
      <c r="J65" s="145"/>
      <c r="K65" s="147"/>
      <c r="L65" s="147"/>
      <c r="M65" s="147"/>
      <c r="N65" s="170"/>
      <c r="O65" s="145"/>
      <c r="P65" s="145"/>
      <c r="Q65" s="145"/>
      <c r="R65" s="145"/>
      <c r="S65" s="145"/>
      <c r="T65" s="145"/>
      <c r="U65" s="145"/>
      <c r="V65" s="145"/>
      <c r="Y65" s="149"/>
      <c r="Z65" s="149"/>
      <c r="AA65" s="149"/>
      <c r="AB65" s="149"/>
      <c r="AC65" s="150"/>
      <c r="AD65" s="150"/>
      <c r="AE65" s="150"/>
      <c r="AF65" s="150"/>
      <c r="AG65" s="150"/>
      <c r="AH65" s="150"/>
      <c r="AI65" s="150"/>
      <c r="AJ65" s="150"/>
      <c r="AK65" s="150"/>
    </row>
    <row r="66" spans="1:37" s="148" customFormat="1" x14ac:dyDescent="0.25">
      <c r="A66" s="189"/>
      <c r="C66" s="145"/>
      <c r="D66" s="145"/>
      <c r="E66" s="190"/>
      <c r="G66" s="147"/>
      <c r="H66" s="192"/>
      <c r="I66" s="192"/>
      <c r="J66" s="145"/>
      <c r="K66" s="147"/>
      <c r="L66" s="147"/>
      <c r="M66" s="147"/>
      <c r="N66" s="170"/>
      <c r="O66" s="145"/>
      <c r="P66" s="145"/>
      <c r="Q66" s="145"/>
      <c r="R66" s="145"/>
      <c r="S66" s="145"/>
      <c r="T66" s="145"/>
      <c r="U66" s="145"/>
      <c r="V66" s="145"/>
      <c r="Y66" s="149"/>
      <c r="Z66" s="149"/>
      <c r="AA66" s="149"/>
      <c r="AB66" s="149"/>
      <c r="AC66" s="150"/>
      <c r="AD66" s="150"/>
      <c r="AE66" s="150"/>
      <c r="AF66" s="150"/>
      <c r="AG66" s="150"/>
      <c r="AH66" s="150"/>
      <c r="AI66" s="150"/>
      <c r="AJ66" s="150"/>
      <c r="AK66" s="150"/>
    </row>
    <row r="67" spans="1:37" s="148" customFormat="1" x14ac:dyDescent="0.25">
      <c r="A67" s="189"/>
      <c r="C67" s="145"/>
      <c r="D67" s="145"/>
      <c r="E67" s="190"/>
      <c r="G67" s="145"/>
      <c r="H67" s="147"/>
      <c r="I67" s="147"/>
      <c r="J67" s="170"/>
      <c r="K67" s="145"/>
      <c r="L67" s="145"/>
      <c r="M67" s="145"/>
      <c r="N67" s="145"/>
      <c r="O67" s="145"/>
      <c r="P67" s="145"/>
      <c r="Q67" s="145"/>
      <c r="R67" s="145"/>
      <c r="U67" s="149"/>
      <c r="V67" s="149"/>
      <c r="W67" s="149"/>
      <c r="X67" s="149"/>
      <c r="Y67" s="150"/>
      <c r="Z67" s="150"/>
      <c r="AA67" s="150"/>
      <c r="AB67" s="150"/>
      <c r="AC67" s="150"/>
      <c r="AD67" s="150"/>
      <c r="AE67" s="150"/>
      <c r="AF67" s="150"/>
      <c r="AG67" s="150"/>
    </row>
    <row r="68" spans="1:37" s="148" customFormat="1" x14ac:dyDescent="0.25">
      <c r="A68" s="189"/>
      <c r="C68" s="145"/>
      <c r="D68" s="145"/>
      <c r="E68" s="190"/>
      <c r="G68" s="145"/>
      <c r="H68" s="147"/>
      <c r="I68" s="147"/>
      <c r="J68" s="170"/>
      <c r="K68" s="145"/>
      <c r="L68" s="145"/>
      <c r="M68" s="145"/>
      <c r="N68" s="145"/>
      <c r="O68" s="145"/>
      <c r="P68" s="145"/>
      <c r="Q68" s="145"/>
      <c r="R68" s="145"/>
      <c r="U68" s="149"/>
      <c r="V68" s="149"/>
      <c r="W68" s="149"/>
      <c r="X68" s="149"/>
      <c r="Y68" s="150"/>
      <c r="Z68" s="150"/>
      <c r="AA68" s="150"/>
      <c r="AB68" s="150"/>
      <c r="AC68" s="150"/>
      <c r="AD68" s="150"/>
      <c r="AE68" s="150"/>
      <c r="AF68" s="150"/>
      <c r="AG68" s="150"/>
    </row>
    <row r="69" spans="1:37" s="148" customFormat="1" x14ac:dyDescent="0.25">
      <c r="C69" s="145"/>
      <c r="D69" s="145"/>
      <c r="E69" s="190"/>
      <c r="G69" s="145"/>
      <c r="H69" s="147"/>
      <c r="I69" s="147"/>
      <c r="J69" s="170"/>
      <c r="K69" s="145"/>
      <c r="L69" s="145"/>
      <c r="M69" s="145"/>
      <c r="N69" s="145"/>
      <c r="O69" s="145"/>
      <c r="P69" s="145"/>
      <c r="Q69" s="145"/>
      <c r="R69" s="145"/>
      <c r="U69" s="149"/>
      <c r="V69" s="149"/>
      <c r="W69" s="149"/>
      <c r="X69" s="149"/>
      <c r="Y69" s="150"/>
      <c r="Z69" s="150"/>
      <c r="AA69" s="150"/>
      <c r="AB69" s="150"/>
      <c r="AC69" s="150"/>
      <c r="AD69" s="150"/>
      <c r="AE69" s="150"/>
      <c r="AF69" s="150"/>
      <c r="AG69" s="150"/>
    </row>
    <row r="70" spans="1:37" s="148" customFormat="1" x14ac:dyDescent="0.25">
      <c r="C70" s="145"/>
      <c r="D70" s="145"/>
      <c r="E70" s="190"/>
      <c r="G70" s="145"/>
      <c r="H70" s="147"/>
      <c r="I70" s="147"/>
      <c r="J70" s="170"/>
      <c r="K70" s="145"/>
      <c r="L70" s="145"/>
      <c r="M70" s="145"/>
      <c r="N70" s="145"/>
      <c r="O70" s="145"/>
      <c r="P70" s="145"/>
      <c r="Q70" s="145"/>
      <c r="R70" s="145"/>
      <c r="U70" s="149"/>
      <c r="V70" s="149"/>
      <c r="W70" s="149"/>
      <c r="X70" s="149"/>
      <c r="Y70" s="150"/>
      <c r="Z70" s="150"/>
      <c r="AA70" s="150"/>
      <c r="AB70" s="150"/>
      <c r="AC70" s="150"/>
      <c r="AD70" s="150"/>
    </row>
    <row r="71" spans="1:37" s="148" customFormat="1" x14ac:dyDescent="0.25">
      <c r="C71" s="145"/>
      <c r="D71" s="145"/>
      <c r="E71" s="190"/>
      <c r="G71" s="145"/>
      <c r="H71" s="147"/>
      <c r="I71" s="147"/>
      <c r="J71" s="170"/>
      <c r="K71" s="145"/>
      <c r="L71" s="145"/>
      <c r="M71" s="145"/>
      <c r="N71" s="145"/>
      <c r="O71" s="145"/>
      <c r="P71" s="145"/>
      <c r="Q71" s="145"/>
      <c r="R71" s="145"/>
      <c r="U71" s="149"/>
      <c r="V71" s="149"/>
      <c r="W71" s="149"/>
      <c r="X71" s="149"/>
      <c r="Y71" s="150"/>
      <c r="Z71" s="150"/>
      <c r="AA71" s="150"/>
      <c r="AB71" s="150"/>
      <c r="AC71" s="150"/>
      <c r="AD71" s="150"/>
    </row>
    <row r="72" spans="1:37" s="148" customFormat="1" x14ac:dyDescent="0.25">
      <c r="C72" s="145"/>
      <c r="D72" s="145"/>
      <c r="E72" s="190"/>
      <c r="G72" s="145"/>
      <c r="H72" s="147"/>
      <c r="I72" s="147"/>
      <c r="J72" s="170"/>
      <c r="K72" s="145"/>
      <c r="L72" s="145"/>
      <c r="M72" s="145"/>
      <c r="N72" s="145"/>
      <c r="O72" s="145"/>
      <c r="P72" s="145"/>
      <c r="Q72" s="145"/>
      <c r="R72" s="145"/>
      <c r="U72" s="149"/>
      <c r="V72" s="149"/>
      <c r="W72" s="149"/>
      <c r="X72" s="149"/>
      <c r="Y72" s="150"/>
      <c r="Z72" s="150"/>
      <c r="AA72" s="150"/>
      <c r="AB72" s="150"/>
      <c r="AC72" s="150"/>
      <c r="AD72" s="150"/>
    </row>
    <row r="73" spans="1:37" x14ac:dyDescent="0.25">
      <c r="C73" s="145"/>
      <c r="D73" s="145"/>
      <c r="E73" s="190"/>
      <c r="F73" s="148"/>
      <c r="G73" s="145"/>
    </row>
    <row r="74" spans="1:37" x14ac:dyDescent="0.25">
      <c r="C74" s="145"/>
      <c r="D74" s="145"/>
      <c r="E74" s="190"/>
      <c r="F74" s="148"/>
      <c r="G74" s="145"/>
    </row>
    <row r="75" spans="1:37" x14ac:dyDescent="0.25">
      <c r="B75" s="194"/>
    </row>
    <row r="76" spans="1:37" x14ac:dyDescent="0.25">
      <c r="B76" s="194"/>
    </row>
    <row r="77" spans="1:37" x14ac:dyDescent="0.25">
      <c r="B77" s="194"/>
    </row>
  </sheetData>
  <sheetProtection sheet="1" objects="1" scenarios="1"/>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79"/>
  <sheetViews>
    <sheetView topLeftCell="A7" workbookViewId="0">
      <selection activeCell="E10" sqref="E10:E11"/>
    </sheetView>
  </sheetViews>
  <sheetFormatPr defaultColWidth="9.109375" defaultRowHeight="13.8" x14ac:dyDescent="0.25"/>
  <cols>
    <col min="1" max="1" width="31.6640625" style="146" customWidth="1"/>
    <col min="2" max="2" width="14.109375" style="146" customWidth="1"/>
    <col min="3" max="3" width="14.5546875" style="146" customWidth="1"/>
    <col min="4" max="4" width="9.109375" style="146" customWidth="1"/>
    <col min="5" max="5" width="15.33203125" style="146" customWidth="1"/>
    <col min="6" max="7" width="14.44140625" style="146" bestFit="1" customWidth="1"/>
    <col min="8" max="8" width="3" style="146" customWidth="1"/>
    <col min="9" max="16384" width="9.109375" style="146"/>
  </cols>
  <sheetData>
    <row r="1" spans="1:29" ht="27.6" x14ac:dyDescent="0.45">
      <c r="A1" s="154" t="s">
        <v>140</v>
      </c>
    </row>
    <row r="2" spans="1:29" ht="14.4" thickBot="1" x14ac:dyDescent="0.3"/>
    <row r="3" spans="1:29" x14ac:dyDescent="0.25">
      <c r="A3" s="155" t="s">
        <v>60</v>
      </c>
      <c r="B3" s="156"/>
      <c r="C3" s="157"/>
    </row>
    <row r="4" spans="1:29" ht="14.4" thickBot="1" x14ac:dyDescent="0.3">
      <c r="A4" s="128" t="s">
        <v>21</v>
      </c>
      <c r="B4" s="158">
        <f>IF(Investeringskalkyl!$C$14="mjölkkor",Investeringskalkyl!$B$14,0)</f>
        <v>0</v>
      </c>
      <c r="C4" s="159" t="s">
        <v>127</v>
      </c>
      <c r="D4" s="160"/>
    </row>
    <row r="5" spans="1:29" ht="15.75" customHeight="1" thickBot="1" x14ac:dyDescent="0.3">
      <c r="A5" s="163"/>
      <c r="B5" s="164"/>
      <c r="C5" s="165"/>
      <c r="D5" s="160"/>
    </row>
    <row r="6" spans="1:29" x14ac:dyDescent="0.25">
      <c r="A6" s="212" t="s">
        <v>66</v>
      </c>
      <c r="B6" s="142"/>
    </row>
    <row r="7" spans="1:29" ht="14.4" thickBot="1" x14ac:dyDescent="0.3">
      <c r="A7" s="127" t="s">
        <v>137</v>
      </c>
      <c r="B7" s="90">
        <f>$B$13*$B$4</f>
        <v>0</v>
      </c>
    </row>
    <row r="8" spans="1:29" x14ac:dyDescent="0.25">
      <c r="A8" s="128" t="s">
        <v>138</v>
      </c>
      <c r="B8" s="229" t="e">
        <f>$B$7/$G$27</f>
        <v>#DIV/0!</v>
      </c>
    </row>
    <row r="9" spans="1:29" ht="14.4" thickBot="1" x14ac:dyDescent="0.3">
      <c r="A9" s="130" t="s">
        <v>192</v>
      </c>
      <c r="B9" s="131">
        <f>$F$58*$B$4</f>
        <v>0</v>
      </c>
    </row>
    <row r="10" spans="1:29" ht="15" customHeight="1" x14ac:dyDescent="0.25">
      <c r="A10" s="212" t="s">
        <v>193</v>
      </c>
      <c r="B10" s="202"/>
    </row>
    <row r="11" spans="1:29" ht="18.75" customHeight="1" x14ac:dyDescent="0.25">
      <c r="A11" s="132" t="s">
        <v>91</v>
      </c>
      <c r="B11" s="89">
        <f>$F$27-$F$49</f>
        <v>0</v>
      </c>
    </row>
    <row r="12" spans="1:29" x14ac:dyDescent="0.25">
      <c r="A12" s="132" t="s">
        <v>92</v>
      </c>
      <c r="B12" s="89">
        <f>$F$27-$F$49-$F$54</f>
        <v>0</v>
      </c>
    </row>
    <row r="13" spans="1:29" ht="14.4" thickBot="1" x14ac:dyDescent="0.3">
      <c r="A13" s="127" t="s">
        <v>93</v>
      </c>
      <c r="B13" s="90">
        <f>$F$27-$F$49-$F54-$F$61</f>
        <v>0</v>
      </c>
    </row>
    <row r="14" spans="1:29" s="148" customFormat="1" ht="12.15" customHeight="1" x14ac:dyDescent="0.25">
      <c r="A14" s="125"/>
      <c r="B14" s="123"/>
      <c r="C14" s="143"/>
      <c r="D14" s="143"/>
      <c r="E14" s="144"/>
      <c r="F14" s="144"/>
      <c r="G14" s="145"/>
      <c r="H14" s="146"/>
      <c r="I14" s="145"/>
      <c r="J14" s="145"/>
      <c r="K14" s="145"/>
      <c r="L14" s="145"/>
      <c r="M14" s="145"/>
      <c r="N14" s="145"/>
      <c r="Q14" s="149"/>
      <c r="R14" s="149"/>
      <c r="S14" s="149"/>
      <c r="T14" s="149"/>
      <c r="U14" s="150"/>
      <c r="V14" s="150"/>
      <c r="W14" s="150"/>
      <c r="X14" s="150"/>
      <c r="Y14" s="150"/>
      <c r="Z14" s="150"/>
      <c r="AA14" s="150"/>
      <c r="AB14" s="150"/>
      <c r="AC14" s="150"/>
    </row>
    <row r="15" spans="1:29" s="148" customFormat="1" ht="12.15" customHeight="1" x14ac:dyDescent="0.25">
      <c r="A15" s="151"/>
      <c r="B15" s="152"/>
      <c r="C15" s="153"/>
      <c r="D15" s="153"/>
      <c r="E15" s="153"/>
      <c r="F15" s="153"/>
      <c r="G15" s="145"/>
      <c r="H15" s="146"/>
      <c r="I15" s="145"/>
      <c r="J15" s="145"/>
      <c r="K15" s="145"/>
      <c r="L15" s="145"/>
      <c r="M15" s="145"/>
      <c r="N15" s="145"/>
      <c r="Q15" s="149"/>
      <c r="R15" s="149"/>
      <c r="S15" s="149"/>
      <c r="T15" s="149"/>
      <c r="U15" s="150"/>
      <c r="V15" s="150"/>
      <c r="W15" s="150"/>
      <c r="X15" s="150"/>
      <c r="Y15" s="150"/>
      <c r="Z15" s="150"/>
      <c r="AA15" s="150"/>
      <c r="AB15" s="150"/>
      <c r="AC15" s="150"/>
    </row>
    <row r="16" spans="1:29" s="148" customFormat="1" ht="27.6" x14ac:dyDescent="0.25">
      <c r="A16" s="166" t="s">
        <v>103</v>
      </c>
      <c r="B16" s="167" t="s">
        <v>6</v>
      </c>
      <c r="C16" s="168" t="s">
        <v>194</v>
      </c>
      <c r="D16" s="168" t="s">
        <v>20</v>
      </c>
      <c r="E16" s="168" t="s">
        <v>63</v>
      </c>
      <c r="F16" s="168" t="s">
        <v>195</v>
      </c>
      <c r="G16" s="169" t="s">
        <v>87</v>
      </c>
      <c r="H16" s="146"/>
      <c r="I16" s="145"/>
      <c r="J16" s="145"/>
      <c r="K16" s="145"/>
      <c r="L16" s="145"/>
      <c r="M16" s="145"/>
      <c r="N16" s="145"/>
      <c r="Q16" s="149"/>
      <c r="R16" s="149"/>
      <c r="S16" s="149"/>
      <c r="T16" s="149"/>
      <c r="U16" s="150"/>
      <c r="V16" s="150"/>
      <c r="W16" s="150"/>
      <c r="X16" s="150"/>
      <c r="Y16" s="150"/>
      <c r="Z16" s="150"/>
      <c r="AA16" s="150"/>
      <c r="AB16" s="150"/>
      <c r="AC16" s="150"/>
    </row>
    <row r="17" spans="1:44" s="148" customFormat="1" x14ac:dyDescent="0.25">
      <c r="A17" s="67" t="s">
        <v>196</v>
      </c>
      <c r="B17" s="45">
        <v>1</v>
      </c>
      <c r="C17" s="41">
        <v>0</v>
      </c>
      <c r="D17" s="37" t="s">
        <v>44</v>
      </c>
      <c r="E17" s="55">
        <v>0</v>
      </c>
      <c r="F17" s="133">
        <f>C17*E17</f>
        <v>0</v>
      </c>
      <c r="G17" s="133">
        <f t="shared" ref="G17:G25" si="0">F17*$B$4</f>
        <v>0</v>
      </c>
      <c r="H17" s="146"/>
      <c r="I17" s="145"/>
      <c r="J17" s="145"/>
      <c r="K17" s="145"/>
      <c r="L17" s="145"/>
      <c r="M17" s="145"/>
      <c r="N17" s="145"/>
      <c r="Q17" s="149"/>
      <c r="R17" s="149"/>
      <c r="S17" s="149"/>
      <c r="T17" s="149"/>
      <c r="U17" s="150"/>
      <c r="V17" s="150"/>
      <c r="W17" s="150"/>
      <c r="X17" s="150"/>
      <c r="Y17" s="150"/>
      <c r="Z17" s="150"/>
      <c r="AA17" s="150"/>
      <c r="AB17" s="150"/>
      <c r="AC17" s="150"/>
    </row>
    <row r="18" spans="1:44" s="148" customFormat="1" x14ac:dyDescent="0.25">
      <c r="A18" s="67" t="s">
        <v>197</v>
      </c>
      <c r="B18" s="45">
        <v>2</v>
      </c>
      <c r="C18" s="41">
        <f>0.5*0.95</f>
        <v>0.47499999999999998</v>
      </c>
      <c r="D18" s="44" t="s">
        <v>37</v>
      </c>
      <c r="E18" s="227">
        <v>0</v>
      </c>
      <c r="F18" s="133">
        <f>C18*E18</f>
        <v>0</v>
      </c>
      <c r="G18" s="133">
        <f t="shared" si="0"/>
        <v>0</v>
      </c>
      <c r="H18" s="146"/>
      <c r="I18" s="145"/>
      <c r="J18" s="145"/>
      <c r="K18" s="145"/>
      <c r="L18" s="145"/>
      <c r="M18" s="145"/>
      <c r="N18" s="190"/>
      <c r="Q18" s="149"/>
      <c r="R18" s="149"/>
      <c r="S18" s="149"/>
      <c r="T18" s="149"/>
      <c r="U18" s="150"/>
      <c r="V18" s="150"/>
      <c r="W18" s="150"/>
      <c r="X18" s="150"/>
      <c r="Y18" s="150"/>
      <c r="Z18" s="150"/>
      <c r="AA18" s="150"/>
      <c r="AB18" s="150"/>
      <c r="AC18" s="150"/>
    </row>
    <row r="19" spans="1:44" s="148" customFormat="1" x14ac:dyDescent="0.25">
      <c r="A19" s="67" t="s">
        <v>198</v>
      </c>
      <c r="B19" s="45">
        <v>3</v>
      </c>
      <c r="C19" s="41">
        <f>0.5*0.95</f>
        <v>0.47499999999999998</v>
      </c>
      <c r="D19" s="44" t="s">
        <v>37</v>
      </c>
      <c r="E19" s="227">
        <v>0</v>
      </c>
      <c r="F19" s="133">
        <f t="shared" ref="F19:F25" si="1">C19*E19</f>
        <v>0</v>
      </c>
      <c r="G19" s="133">
        <f t="shared" si="0"/>
        <v>0</v>
      </c>
      <c r="H19" s="146"/>
      <c r="I19" s="145"/>
      <c r="J19" s="145"/>
      <c r="K19" s="145"/>
      <c r="L19" s="145"/>
      <c r="M19" s="145"/>
      <c r="N19" s="190"/>
      <c r="Q19" s="149"/>
      <c r="R19" s="149"/>
      <c r="S19" s="149"/>
      <c r="T19" s="149"/>
      <c r="U19" s="150"/>
      <c r="V19" s="150"/>
      <c r="W19" s="150"/>
      <c r="X19" s="150"/>
      <c r="Y19" s="150"/>
      <c r="Z19" s="150"/>
      <c r="AA19" s="150"/>
      <c r="AB19" s="150"/>
      <c r="AC19" s="150"/>
    </row>
    <row r="20" spans="1:44" s="148" customFormat="1" x14ac:dyDescent="0.25">
      <c r="A20" s="67" t="s">
        <v>186</v>
      </c>
      <c r="B20" s="45">
        <v>3</v>
      </c>
      <c r="C20" s="41">
        <v>0.4</v>
      </c>
      <c r="D20" s="44" t="s">
        <v>37</v>
      </c>
      <c r="E20" s="227">
        <v>0</v>
      </c>
      <c r="F20" s="133">
        <f t="shared" si="1"/>
        <v>0</v>
      </c>
      <c r="G20" s="133">
        <f t="shared" si="0"/>
        <v>0</v>
      </c>
      <c r="H20" s="146"/>
      <c r="I20" s="145"/>
      <c r="J20" s="145"/>
      <c r="K20" s="145"/>
      <c r="L20" s="145"/>
      <c r="M20" s="145"/>
      <c r="N20" s="190"/>
      <c r="Q20" s="149"/>
      <c r="R20" s="149"/>
      <c r="S20" s="149"/>
      <c r="T20" s="149"/>
      <c r="U20" s="150"/>
      <c r="V20" s="150"/>
      <c r="W20" s="150"/>
      <c r="X20" s="150"/>
      <c r="Y20" s="150"/>
      <c r="Z20" s="150"/>
      <c r="AA20" s="150"/>
      <c r="AB20" s="150"/>
      <c r="AC20" s="150"/>
    </row>
    <row r="21" spans="1:44" s="148" customFormat="1" x14ac:dyDescent="0.25">
      <c r="A21" s="67" t="s">
        <v>131</v>
      </c>
      <c r="B21" s="45" t="s">
        <v>207</v>
      </c>
      <c r="C21" s="40">
        <v>0</v>
      </c>
      <c r="D21" s="44" t="s">
        <v>158</v>
      </c>
      <c r="E21" s="55">
        <v>0</v>
      </c>
      <c r="F21" s="133">
        <f t="shared" si="1"/>
        <v>0</v>
      </c>
      <c r="G21" s="133">
        <f t="shared" si="0"/>
        <v>0</v>
      </c>
      <c r="H21" s="146"/>
      <c r="I21" s="145"/>
      <c r="J21" s="145"/>
      <c r="K21" s="145"/>
      <c r="L21" s="145"/>
      <c r="M21" s="145"/>
      <c r="N21" s="145"/>
      <c r="Q21" s="149"/>
      <c r="R21" s="149"/>
      <c r="S21" s="149"/>
      <c r="T21" s="149"/>
      <c r="U21" s="150"/>
      <c r="V21" s="150"/>
      <c r="W21" s="150"/>
      <c r="X21" s="150"/>
      <c r="Y21" s="150"/>
      <c r="Z21" s="150"/>
      <c r="AA21" s="150"/>
      <c r="AB21" s="150"/>
      <c r="AC21" s="150"/>
    </row>
    <row r="22" spans="1:44" s="148" customFormat="1" x14ac:dyDescent="0.25">
      <c r="A22" s="67" t="s">
        <v>170</v>
      </c>
      <c r="B22" s="45"/>
      <c r="C22" s="40">
        <v>0</v>
      </c>
      <c r="D22" s="44" t="s">
        <v>35</v>
      </c>
      <c r="E22" s="55">
        <v>0</v>
      </c>
      <c r="F22" s="133">
        <f t="shared" si="1"/>
        <v>0</v>
      </c>
      <c r="G22" s="133">
        <f t="shared" si="0"/>
        <v>0</v>
      </c>
      <c r="H22" s="146"/>
      <c r="I22" s="145"/>
      <c r="J22" s="145"/>
      <c r="K22" s="145"/>
      <c r="L22" s="145"/>
      <c r="M22" s="145"/>
      <c r="N22" s="145"/>
      <c r="Q22" s="149"/>
      <c r="R22" s="149"/>
      <c r="S22" s="149"/>
      <c r="T22" s="149"/>
      <c r="U22" s="150"/>
      <c r="V22" s="150"/>
      <c r="W22" s="150"/>
      <c r="X22" s="150"/>
      <c r="Y22" s="150"/>
      <c r="Z22" s="150"/>
      <c r="AA22" s="150"/>
      <c r="AB22" s="150"/>
      <c r="AC22" s="150"/>
    </row>
    <row r="23" spans="1:44" s="148" customFormat="1" x14ac:dyDescent="0.25">
      <c r="A23" s="67" t="s">
        <v>107</v>
      </c>
      <c r="B23" s="45"/>
      <c r="C23" s="40">
        <v>0</v>
      </c>
      <c r="D23" s="44" t="s">
        <v>35</v>
      </c>
      <c r="E23" s="55">
        <v>0</v>
      </c>
      <c r="F23" s="133">
        <f t="shared" si="1"/>
        <v>0</v>
      </c>
      <c r="G23" s="133">
        <f t="shared" si="0"/>
        <v>0</v>
      </c>
      <c r="H23" s="146"/>
      <c r="I23" s="145"/>
      <c r="J23" s="145"/>
      <c r="K23" s="145"/>
      <c r="L23" s="145"/>
      <c r="M23" s="145"/>
      <c r="N23" s="145"/>
      <c r="Q23" s="149"/>
      <c r="R23" s="149"/>
      <c r="S23" s="149"/>
      <c r="T23" s="149"/>
      <c r="U23" s="150"/>
      <c r="V23" s="150"/>
      <c r="W23" s="150"/>
      <c r="X23" s="150"/>
      <c r="Y23" s="150"/>
      <c r="Z23" s="150"/>
      <c r="AA23" s="150"/>
      <c r="AB23" s="150"/>
      <c r="AC23" s="150"/>
    </row>
    <row r="24" spans="1:44" s="148" customFormat="1" ht="27.6" x14ac:dyDescent="0.25">
      <c r="A24" s="67" t="s">
        <v>112</v>
      </c>
      <c r="B24" s="45"/>
      <c r="C24" s="40">
        <v>0</v>
      </c>
      <c r="D24" s="44" t="s">
        <v>35</v>
      </c>
      <c r="E24" s="55">
        <v>0</v>
      </c>
      <c r="F24" s="133">
        <f t="shared" si="1"/>
        <v>0</v>
      </c>
      <c r="G24" s="133">
        <f t="shared" si="0"/>
        <v>0</v>
      </c>
      <c r="H24" s="146"/>
      <c r="I24" s="145"/>
      <c r="J24" s="145"/>
      <c r="K24" s="145"/>
      <c r="L24" s="145"/>
      <c r="M24" s="145"/>
      <c r="N24" s="145"/>
      <c r="Q24" s="149"/>
      <c r="R24" s="149"/>
      <c r="S24" s="149"/>
      <c r="T24" s="149"/>
      <c r="U24" s="150"/>
      <c r="V24" s="150"/>
      <c r="W24" s="150"/>
      <c r="X24" s="150"/>
      <c r="Y24" s="150"/>
      <c r="Z24" s="150"/>
      <c r="AA24" s="150"/>
      <c r="AB24" s="150"/>
      <c r="AC24" s="150"/>
    </row>
    <row r="25" spans="1:44" s="148" customFormat="1" x14ac:dyDescent="0.25">
      <c r="A25" s="67" t="s">
        <v>106</v>
      </c>
      <c r="B25" s="45"/>
      <c r="C25" s="40">
        <v>0</v>
      </c>
      <c r="D25" s="44" t="s">
        <v>41</v>
      </c>
      <c r="E25" s="55">
        <v>0</v>
      </c>
      <c r="F25" s="133">
        <f t="shared" si="1"/>
        <v>0</v>
      </c>
      <c r="G25" s="133">
        <f t="shared" si="0"/>
        <v>0</v>
      </c>
      <c r="H25" s="146"/>
      <c r="I25" s="145"/>
      <c r="J25" s="145"/>
      <c r="K25" s="145"/>
      <c r="L25" s="145"/>
      <c r="M25" s="145"/>
      <c r="N25" s="145"/>
      <c r="Q25" s="149"/>
      <c r="R25" s="149"/>
      <c r="S25" s="149"/>
      <c r="T25" s="149"/>
      <c r="U25" s="150"/>
      <c r="V25" s="150"/>
      <c r="W25" s="150"/>
      <c r="X25" s="150"/>
      <c r="Y25" s="150"/>
      <c r="Z25" s="150"/>
      <c r="AA25" s="150"/>
      <c r="AB25" s="150"/>
      <c r="AC25" s="150"/>
      <c r="AR25" s="145"/>
    </row>
    <row r="26" spans="1:44" s="148" customFormat="1" x14ac:dyDescent="0.25">
      <c r="A26" s="67"/>
      <c r="B26" s="45"/>
      <c r="C26" s="40"/>
      <c r="D26" s="44"/>
      <c r="E26" s="55"/>
      <c r="F26" s="133"/>
      <c r="G26" s="133"/>
      <c r="H26" s="146"/>
      <c r="I26" s="145"/>
      <c r="J26" s="145"/>
      <c r="K26" s="145"/>
      <c r="L26" s="145"/>
      <c r="M26" s="145"/>
      <c r="N26" s="145"/>
      <c r="Q26" s="149"/>
      <c r="R26" s="149"/>
      <c r="S26" s="149"/>
      <c r="T26" s="149"/>
      <c r="U26" s="150"/>
      <c r="V26" s="150"/>
      <c r="W26" s="150"/>
      <c r="X26" s="150"/>
      <c r="Y26" s="150"/>
      <c r="Z26" s="150"/>
      <c r="AA26" s="150"/>
      <c r="AB26" s="150"/>
      <c r="AC26" s="150"/>
      <c r="AR26" s="145"/>
    </row>
    <row r="27" spans="1:44" s="148" customFormat="1" x14ac:dyDescent="0.25">
      <c r="A27" s="171" t="s">
        <v>90</v>
      </c>
      <c r="B27" s="172"/>
      <c r="C27" s="173"/>
      <c r="D27" s="174"/>
      <c r="E27" s="175"/>
      <c r="F27" s="56">
        <f>SUM(F17:F26)</f>
        <v>0</v>
      </c>
      <c r="G27" s="56">
        <f>SUM(G17:G26)</f>
        <v>0</v>
      </c>
      <c r="H27" s="146"/>
      <c r="I27" s="145"/>
      <c r="J27" s="145"/>
      <c r="K27" s="145"/>
      <c r="L27" s="145"/>
      <c r="M27" s="145"/>
      <c r="N27" s="145"/>
      <c r="Q27" s="149"/>
      <c r="R27" s="149"/>
      <c r="S27" s="149"/>
      <c r="T27" s="149"/>
      <c r="U27" s="150"/>
      <c r="V27" s="150"/>
      <c r="W27" s="150"/>
      <c r="X27" s="150"/>
      <c r="Y27" s="150"/>
      <c r="Z27" s="150"/>
      <c r="AA27" s="150"/>
      <c r="AB27" s="150"/>
      <c r="AC27" s="150"/>
      <c r="AR27" s="145"/>
    </row>
    <row r="28" spans="1:44" s="148" customFormat="1" x14ac:dyDescent="0.25">
      <c r="A28" s="176"/>
      <c r="B28" s="122"/>
      <c r="C28" s="177"/>
      <c r="D28" s="152"/>
      <c r="E28" s="178"/>
      <c r="F28" s="179"/>
      <c r="G28" s="145"/>
      <c r="H28" s="126"/>
      <c r="I28" s="145"/>
      <c r="J28" s="145"/>
      <c r="K28" s="145"/>
      <c r="L28" s="145"/>
      <c r="O28" s="149"/>
      <c r="P28" s="149"/>
      <c r="Q28" s="149"/>
      <c r="R28" s="149"/>
      <c r="S28" s="150"/>
      <c r="T28" s="150"/>
      <c r="U28" s="150"/>
      <c r="V28" s="150"/>
      <c r="W28" s="150"/>
      <c r="X28" s="150"/>
      <c r="Y28" s="150"/>
      <c r="Z28" s="150"/>
      <c r="AA28" s="150"/>
      <c r="AP28" s="145"/>
    </row>
    <row r="29" spans="1:44" s="148" customFormat="1" ht="27.6" x14ac:dyDescent="0.25">
      <c r="A29" s="166" t="s">
        <v>104</v>
      </c>
      <c r="B29" s="167" t="s">
        <v>6</v>
      </c>
      <c r="C29" s="168" t="s">
        <v>194</v>
      </c>
      <c r="D29" s="168" t="s">
        <v>20</v>
      </c>
      <c r="E29" s="168" t="s">
        <v>63</v>
      </c>
      <c r="F29" s="168" t="s">
        <v>195</v>
      </c>
      <c r="G29" s="169" t="s">
        <v>87</v>
      </c>
      <c r="H29" s="126"/>
      <c r="I29" s="145"/>
      <c r="J29" s="145"/>
      <c r="K29" s="145"/>
      <c r="L29" s="145"/>
      <c r="O29" s="149"/>
      <c r="P29" s="149"/>
      <c r="Q29" s="149"/>
      <c r="R29" s="149"/>
      <c r="S29" s="150"/>
      <c r="T29" s="150"/>
      <c r="U29" s="150"/>
      <c r="V29" s="150"/>
      <c r="W29" s="150"/>
      <c r="X29" s="150"/>
      <c r="Y29" s="150"/>
      <c r="Z29" s="150"/>
      <c r="AA29" s="150"/>
      <c r="AP29" s="145"/>
    </row>
    <row r="30" spans="1:44" s="148" customFormat="1" x14ac:dyDescent="0.25">
      <c r="A30" s="67" t="s">
        <v>199</v>
      </c>
      <c r="B30" s="45"/>
      <c r="C30" s="41">
        <v>0</v>
      </c>
      <c r="D30" s="37" t="s">
        <v>37</v>
      </c>
      <c r="E30" s="232">
        <f>E18</f>
        <v>0</v>
      </c>
      <c r="F30" s="133">
        <f>C30*E30</f>
        <v>0</v>
      </c>
      <c r="G30" s="133">
        <f t="shared" ref="G30:G39" si="2">F30*$B$4</f>
        <v>0</v>
      </c>
      <c r="H30" s="170"/>
      <c r="I30" s="145"/>
      <c r="J30" s="145"/>
      <c r="K30" s="145"/>
      <c r="L30" s="145"/>
      <c r="O30" s="149"/>
      <c r="P30" s="149"/>
      <c r="Q30" s="149"/>
      <c r="R30" s="149"/>
      <c r="S30" s="150"/>
      <c r="T30" s="150"/>
      <c r="U30" s="150"/>
      <c r="V30" s="150"/>
      <c r="W30" s="150"/>
      <c r="X30" s="150"/>
      <c r="Y30" s="150"/>
      <c r="Z30" s="150"/>
      <c r="AA30" s="150"/>
    </row>
    <row r="31" spans="1:44" s="148" customFormat="1" x14ac:dyDescent="0.25">
      <c r="A31" s="67" t="s">
        <v>200</v>
      </c>
      <c r="B31" s="45"/>
      <c r="C31" s="42">
        <v>0</v>
      </c>
      <c r="D31" s="37" t="s">
        <v>44</v>
      </c>
      <c r="E31" s="55">
        <v>0</v>
      </c>
      <c r="F31" s="133">
        <f t="shared" ref="F31:F48" si="3">C31*E31</f>
        <v>0</v>
      </c>
      <c r="G31" s="133">
        <f t="shared" si="2"/>
        <v>0</v>
      </c>
      <c r="H31" s="147"/>
      <c r="I31" s="145"/>
      <c r="J31" s="145"/>
      <c r="K31" s="145"/>
      <c r="N31" s="149"/>
      <c r="O31" s="149"/>
      <c r="P31" s="149"/>
      <c r="Q31" s="149"/>
      <c r="R31" s="150"/>
      <c r="S31" s="150"/>
      <c r="T31" s="150"/>
      <c r="U31" s="150"/>
      <c r="V31" s="150"/>
      <c r="W31" s="150"/>
      <c r="X31" s="150"/>
      <c r="Y31" s="150"/>
      <c r="Z31" s="150"/>
    </row>
    <row r="32" spans="1:44" s="148" customFormat="1" x14ac:dyDescent="0.25">
      <c r="A32" s="67" t="s">
        <v>108</v>
      </c>
      <c r="B32" s="45"/>
      <c r="C32" s="42">
        <v>0</v>
      </c>
      <c r="D32" s="37" t="s">
        <v>158</v>
      </c>
      <c r="E32" s="55">
        <v>0</v>
      </c>
      <c r="F32" s="133">
        <f t="shared" si="3"/>
        <v>0</v>
      </c>
      <c r="G32" s="133">
        <f t="shared" si="2"/>
        <v>0</v>
      </c>
      <c r="H32" s="170"/>
      <c r="I32" s="145"/>
      <c r="J32" s="145"/>
      <c r="K32" s="145"/>
      <c r="L32" s="145"/>
      <c r="O32" s="149"/>
      <c r="P32" s="149"/>
      <c r="Q32" s="149"/>
      <c r="R32" s="149"/>
      <c r="S32" s="150"/>
      <c r="T32" s="150"/>
      <c r="U32" s="150"/>
      <c r="V32" s="150"/>
      <c r="W32" s="150"/>
      <c r="X32" s="150"/>
      <c r="Y32" s="150"/>
      <c r="Z32" s="150"/>
      <c r="AA32" s="150"/>
    </row>
    <row r="33" spans="1:27" s="148" customFormat="1" x14ac:dyDescent="0.25">
      <c r="A33" s="67" t="s">
        <v>203</v>
      </c>
      <c r="B33" s="45"/>
      <c r="C33" s="42">
        <v>0</v>
      </c>
      <c r="D33" s="37" t="s">
        <v>158</v>
      </c>
      <c r="E33" s="55">
        <v>0</v>
      </c>
      <c r="F33" s="133">
        <f>C33*E33</f>
        <v>0</v>
      </c>
      <c r="G33" s="133">
        <f>F33*$B$4</f>
        <v>0</v>
      </c>
      <c r="H33" s="170"/>
      <c r="I33" s="145"/>
      <c r="J33" s="145"/>
      <c r="K33" s="145"/>
      <c r="L33" s="145"/>
      <c r="O33" s="149"/>
      <c r="P33" s="149"/>
      <c r="Q33" s="149"/>
      <c r="R33" s="149"/>
      <c r="S33" s="150"/>
      <c r="T33" s="150"/>
      <c r="U33" s="150"/>
      <c r="V33" s="150"/>
      <c r="W33" s="150"/>
      <c r="X33" s="150"/>
      <c r="Y33" s="150"/>
      <c r="Z33" s="150"/>
      <c r="AA33" s="150"/>
    </row>
    <row r="34" spans="1:27" s="148" customFormat="1" x14ac:dyDescent="0.25">
      <c r="A34" s="67" t="s">
        <v>204</v>
      </c>
      <c r="B34" s="45"/>
      <c r="C34" s="42">
        <v>0</v>
      </c>
      <c r="D34" s="37" t="s">
        <v>158</v>
      </c>
      <c r="E34" s="55">
        <v>0</v>
      </c>
      <c r="F34" s="133">
        <f>C34*E34</f>
        <v>0</v>
      </c>
      <c r="G34" s="133">
        <f>F34*$B$4</f>
        <v>0</v>
      </c>
      <c r="H34" s="170"/>
      <c r="I34" s="145"/>
      <c r="J34" s="145"/>
      <c r="K34" s="145"/>
      <c r="L34" s="145"/>
      <c r="O34" s="149"/>
      <c r="P34" s="149"/>
      <c r="Q34" s="149"/>
      <c r="R34" s="149"/>
      <c r="S34" s="150"/>
      <c r="T34" s="150"/>
      <c r="U34" s="150"/>
      <c r="V34" s="150"/>
      <c r="W34" s="150"/>
      <c r="X34" s="150"/>
      <c r="Y34" s="150"/>
      <c r="Z34" s="150"/>
      <c r="AA34" s="150"/>
    </row>
    <row r="35" spans="1:27" s="148" customFormat="1" x14ac:dyDescent="0.25">
      <c r="A35" s="67" t="s">
        <v>204</v>
      </c>
      <c r="B35" s="45"/>
      <c r="C35" s="42">
        <v>0</v>
      </c>
      <c r="D35" s="37" t="s">
        <v>44</v>
      </c>
      <c r="E35" s="55">
        <v>0</v>
      </c>
      <c r="F35" s="133">
        <f>C35*E35</f>
        <v>0</v>
      </c>
      <c r="G35" s="133">
        <f>F35*$B$4</f>
        <v>0</v>
      </c>
      <c r="H35" s="170"/>
      <c r="I35" s="145"/>
      <c r="J35" s="145"/>
      <c r="K35" s="145"/>
      <c r="L35" s="145"/>
      <c r="O35" s="149"/>
      <c r="P35" s="149"/>
      <c r="Q35" s="149"/>
      <c r="R35" s="149"/>
      <c r="S35" s="150"/>
      <c r="T35" s="150"/>
      <c r="U35" s="150"/>
      <c r="V35" s="150"/>
      <c r="W35" s="150"/>
      <c r="X35" s="150"/>
      <c r="Y35" s="150"/>
      <c r="Z35" s="150"/>
      <c r="AA35" s="150"/>
    </row>
    <row r="36" spans="1:27" s="148" customFormat="1" x14ac:dyDescent="0.25">
      <c r="A36" s="67" t="s">
        <v>109</v>
      </c>
      <c r="B36" s="45"/>
      <c r="C36" s="42">
        <v>0</v>
      </c>
      <c r="D36" s="37" t="s">
        <v>44</v>
      </c>
      <c r="E36" s="55">
        <v>0</v>
      </c>
      <c r="F36" s="133">
        <f t="shared" si="3"/>
        <v>0</v>
      </c>
      <c r="G36" s="133">
        <f t="shared" si="2"/>
        <v>0</v>
      </c>
      <c r="H36" s="170"/>
      <c r="I36" s="145"/>
      <c r="J36" s="145"/>
      <c r="K36" s="145"/>
      <c r="L36" s="145"/>
      <c r="O36" s="149"/>
      <c r="P36" s="149"/>
      <c r="Q36" s="149"/>
      <c r="R36" s="149"/>
      <c r="S36" s="150"/>
      <c r="T36" s="150"/>
      <c r="U36" s="150"/>
      <c r="V36" s="150"/>
      <c r="W36" s="150"/>
      <c r="X36" s="150"/>
      <c r="Y36" s="150"/>
      <c r="Z36" s="150"/>
      <c r="AA36" s="150"/>
    </row>
    <row r="37" spans="1:27" s="148" customFormat="1" x14ac:dyDescent="0.25">
      <c r="A37" s="67" t="s">
        <v>205</v>
      </c>
      <c r="B37" s="45"/>
      <c r="C37" s="42">
        <v>0</v>
      </c>
      <c r="D37" s="37" t="s">
        <v>44</v>
      </c>
      <c r="E37" s="55">
        <v>0</v>
      </c>
      <c r="F37" s="133">
        <f t="shared" si="3"/>
        <v>0</v>
      </c>
      <c r="G37" s="133">
        <f t="shared" si="2"/>
        <v>0</v>
      </c>
      <c r="H37" s="170"/>
      <c r="I37" s="145"/>
      <c r="J37" s="145"/>
      <c r="K37" s="145"/>
      <c r="L37" s="145"/>
      <c r="O37" s="149"/>
      <c r="P37" s="149"/>
      <c r="Q37" s="149"/>
      <c r="R37" s="149"/>
      <c r="S37" s="150"/>
      <c r="T37" s="150"/>
      <c r="U37" s="150"/>
      <c r="V37" s="150"/>
      <c r="W37" s="150"/>
      <c r="X37" s="150"/>
      <c r="Y37" s="150"/>
      <c r="Z37" s="150"/>
      <c r="AA37" s="150"/>
    </row>
    <row r="38" spans="1:27" s="148" customFormat="1" x14ac:dyDescent="0.25">
      <c r="A38" s="67" t="s">
        <v>110</v>
      </c>
      <c r="B38" s="45"/>
      <c r="C38" s="42">
        <v>0</v>
      </c>
      <c r="D38" s="37" t="s">
        <v>44</v>
      </c>
      <c r="E38" s="55">
        <v>0</v>
      </c>
      <c r="F38" s="133">
        <f t="shared" si="3"/>
        <v>0</v>
      </c>
      <c r="G38" s="133">
        <f t="shared" si="2"/>
        <v>0</v>
      </c>
      <c r="H38" s="170"/>
      <c r="I38" s="145"/>
      <c r="J38" s="145"/>
      <c r="K38" s="145"/>
      <c r="L38" s="145"/>
      <c r="O38" s="149"/>
      <c r="P38" s="149"/>
      <c r="Q38" s="149"/>
      <c r="R38" s="149"/>
      <c r="S38" s="150"/>
      <c r="T38" s="150"/>
      <c r="U38" s="150"/>
      <c r="V38" s="150"/>
      <c r="W38" s="150"/>
      <c r="X38" s="150"/>
      <c r="Y38" s="150"/>
      <c r="Z38" s="150"/>
      <c r="AA38" s="150"/>
    </row>
    <row r="39" spans="1:27" s="148" customFormat="1" x14ac:dyDescent="0.25">
      <c r="A39" s="67" t="s">
        <v>134</v>
      </c>
      <c r="B39" s="45"/>
      <c r="C39" s="42">
        <v>0</v>
      </c>
      <c r="D39" s="37" t="s">
        <v>44</v>
      </c>
      <c r="E39" s="55">
        <v>0</v>
      </c>
      <c r="F39" s="133">
        <f t="shared" si="3"/>
        <v>0</v>
      </c>
      <c r="G39" s="133">
        <f t="shared" si="2"/>
        <v>0</v>
      </c>
      <c r="H39" s="170"/>
      <c r="I39" s="145"/>
      <c r="J39" s="145"/>
      <c r="K39" s="145"/>
      <c r="L39" s="145"/>
      <c r="O39" s="149"/>
      <c r="P39" s="149"/>
      <c r="Q39" s="149"/>
      <c r="R39" s="149"/>
      <c r="S39" s="150"/>
      <c r="T39" s="150"/>
      <c r="U39" s="150"/>
      <c r="V39" s="150"/>
      <c r="W39" s="150"/>
      <c r="X39" s="150"/>
      <c r="Y39" s="150"/>
      <c r="Z39" s="150"/>
      <c r="AA39" s="150"/>
    </row>
    <row r="40" spans="1:27" s="148" customFormat="1" x14ac:dyDescent="0.25">
      <c r="A40" s="67" t="s">
        <v>201</v>
      </c>
      <c r="B40" s="45"/>
      <c r="C40" s="42">
        <v>0</v>
      </c>
      <c r="D40" s="37" t="s">
        <v>44</v>
      </c>
      <c r="E40" s="55">
        <v>0</v>
      </c>
      <c r="F40" s="133">
        <f>C40*E40</f>
        <v>0</v>
      </c>
      <c r="G40" s="133">
        <f>F40*$B$4</f>
        <v>0</v>
      </c>
      <c r="H40" s="170"/>
      <c r="I40" s="145"/>
      <c r="J40" s="145"/>
      <c r="K40" s="145"/>
      <c r="L40" s="145"/>
      <c r="O40" s="149"/>
      <c r="P40" s="149"/>
      <c r="Q40" s="149"/>
      <c r="R40" s="149"/>
      <c r="S40" s="150"/>
      <c r="T40" s="150"/>
      <c r="U40" s="150"/>
      <c r="V40" s="150"/>
      <c r="W40" s="150"/>
      <c r="X40" s="150"/>
      <c r="Y40" s="150"/>
      <c r="Z40" s="150"/>
      <c r="AA40" s="150"/>
    </row>
    <row r="41" spans="1:27" s="148" customFormat="1" x14ac:dyDescent="0.25">
      <c r="A41" s="67" t="s">
        <v>47</v>
      </c>
      <c r="B41" s="45"/>
      <c r="C41" s="42">
        <v>0</v>
      </c>
      <c r="D41" s="37" t="s">
        <v>44</v>
      </c>
      <c r="E41" s="55">
        <v>0</v>
      </c>
      <c r="F41" s="133">
        <f t="shared" si="3"/>
        <v>0</v>
      </c>
      <c r="G41" s="133">
        <f t="shared" ref="G41:G60" si="4">F41*$B$4</f>
        <v>0</v>
      </c>
      <c r="H41" s="170"/>
      <c r="I41" s="145"/>
      <c r="J41" s="145"/>
      <c r="K41" s="145"/>
      <c r="L41" s="145"/>
      <c r="O41" s="149"/>
      <c r="P41" s="149"/>
      <c r="Q41" s="149"/>
      <c r="R41" s="149"/>
      <c r="S41" s="150"/>
      <c r="T41" s="150"/>
      <c r="U41" s="150"/>
      <c r="V41" s="150"/>
      <c r="W41" s="150"/>
      <c r="X41" s="150"/>
      <c r="Y41" s="150"/>
      <c r="Z41" s="150"/>
      <c r="AA41" s="150"/>
    </row>
    <row r="42" spans="1:27" s="148" customFormat="1" x14ac:dyDescent="0.25">
      <c r="A42" s="67" t="s">
        <v>48</v>
      </c>
      <c r="B42" s="45"/>
      <c r="C42" s="42">
        <v>0</v>
      </c>
      <c r="D42" s="37" t="s">
        <v>49</v>
      </c>
      <c r="E42" s="55">
        <v>0</v>
      </c>
      <c r="F42" s="133">
        <f t="shared" si="3"/>
        <v>0</v>
      </c>
      <c r="G42" s="133">
        <f t="shared" si="4"/>
        <v>0</v>
      </c>
      <c r="H42" s="170"/>
      <c r="I42" s="145"/>
      <c r="J42" s="145"/>
      <c r="K42" s="145"/>
      <c r="L42" s="145"/>
      <c r="O42" s="149"/>
      <c r="P42" s="149"/>
      <c r="Q42" s="149"/>
      <c r="R42" s="149"/>
      <c r="S42" s="150"/>
      <c r="T42" s="150"/>
      <c r="U42" s="150"/>
      <c r="V42" s="150"/>
      <c r="W42" s="150"/>
      <c r="X42" s="150"/>
      <c r="Y42" s="150"/>
      <c r="Z42" s="150"/>
      <c r="AA42" s="150"/>
    </row>
    <row r="43" spans="1:27" s="148" customFormat="1" x14ac:dyDescent="0.25">
      <c r="A43" s="67" t="s">
        <v>202</v>
      </c>
      <c r="B43" s="45"/>
      <c r="C43" s="42">
        <v>0</v>
      </c>
      <c r="D43" s="37" t="s">
        <v>35</v>
      </c>
      <c r="E43" s="55">
        <v>0</v>
      </c>
      <c r="F43" s="133">
        <f t="shared" si="3"/>
        <v>0</v>
      </c>
      <c r="G43" s="133">
        <f t="shared" si="4"/>
        <v>0</v>
      </c>
      <c r="H43" s="170"/>
      <c r="I43" s="145"/>
      <c r="J43" s="145"/>
      <c r="K43" s="145"/>
      <c r="L43" s="145"/>
      <c r="O43" s="149"/>
      <c r="P43" s="149"/>
      <c r="Q43" s="149"/>
      <c r="R43" s="149"/>
      <c r="S43" s="150"/>
      <c r="T43" s="150"/>
      <c r="U43" s="150"/>
      <c r="V43" s="150"/>
      <c r="W43" s="150"/>
      <c r="X43" s="150"/>
      <c r="Y43" s="150"/>
      <c r="Z43" s="150"/>
      <c r="AA43" s="150"/>
    </row>
    <row r="44" spans="1:27" s="148" customFormat="1" x14ac:dyDescent="0.25">
      <c r="A44" s="67" t="s">
        <v>126</v>
      </c>
      <c r="B44" s="45"/>
      <c r="C44" s="42">
        <v>0</v>
      </c>
      <c r="D44" s="37" t="s">
        <v>35</v>
      </c>
      <c r="E44" s="55">
        <v>0</v>
      </c>
      <c r="F44" s="133">
        <f t="shared" si="3"/>
        <v>0</v>
      </c>
      <c r="G44" s="133">
        <f t="shared" si="4"/>
        <v>0</v>
      </c>
      <c r="H44" s="170"/>
      <c r="I44" s="145"/>
      <c r="J44" s="145"/>
      <c r="K44" s="145"/>
      <c r="L44" s="145"/>
      <c r="O44" s="149"/>
      <c r="P44" s="149"/>
      <c r="Q44" s="149"/>
      <c r="R44" s="149"/>
      <c r="S44" s="150"/>
      <c r="T44" s="150"/>
      <c r="U44" s="150"/>
      <c r="V44" s="150"/>
      <c r="W44" s="150"/>
      <c r="X44" s="150"/>
      <c r="Y44" s="150"/>
      <c r="Z44" s="150"/>
      <c r="AA44" s="150"/>
    </row>
    <row r="45" spans="1:27" s="148" customFormat="1" x14ac:dyDescent="0.25">
      <c r="A45" s="67" t="s">
        <v>50</v>
      </c>
      <c r="B45" s="45"/>
      <c r="C45" s="42">
        <v>0</v>
      </c>
      <c r="D45" s="37" t="s">
        <v>35</v>
      </c>
      <c r="E45" s="55">
        <v>0</v>
      </c>
      <c r="F45" s="133">
        <f t="shared" si="3"/>
        <v>0</v>
      </c>
      <c r="G45" s="133">
        <f t="shared" si="4"/>
        <v>0</v>
      </c>
      <c r="H45" s="170"/>
      <c r="I45" s="145"/>
      <c r="J45" s="145"/>
      <c r="K45" s="145"/>
      <c r="L45" s="145"/>
      <c r="O45" s="149"/>
      <c r="P45" s="149"/>
      <c r="Q45" s="149"/>
      <c r="R45" s="149"/>
      <c r="S45" s="150"/>
      <c r="T45" s="150"/>
      <c r="U45" s="150"/>
      <c r="V45" s="150"/>
      <c r="W45" s="150"/>
      <c r="X45" s="150"/>
      <c r="Y45" s="150"/>
      <c r="Z45" s="150"/>
      <c r="AA45" s="150"/>
    </row>
    <row r="46" spans="1:27" s="148" customFormat="1" ht="27.6" x14ac:dyDescent="0.25">
      <c r="A46" s="67" t="s">
        <v>86</v>
      </c>
      <c r="B46" s="45"/>
      <c r="C46" s="42">
        <v>0</v>
      </c>
      <c r="D46" s="37" t="s">
        <v>35</v>
      </c>
      <c r="E46" s="55">
        <v>0</v>
      </c>
      <c r="F46" s="133">
        <f t="shared" si="3"/>
        <v>0</v>
      </c>
      <c r="G46" s="133">
        <f t="shared" si="4"/>
        <v>0</v>
      </c>
      <c r="H46" s="170"/>
      <c r="I46" s="145"/>
      <c r="J46" s="145"/>
      <c r="K46" s="145"/>
      <c r="L46" s="145"/>
      <c r="O46" s="149"/>
      <c r="P46" s="149"/>
      <c r="Q46" s="149"/>
      <c r="R46" s="149"/>
      <c r="S46" s="150"/>
      <c r="T46" s="150"/>
      <c r="U46" s="150"/>
      <c r="V46" s="150"/>
      <c r="W46" s="150"/>
      <c r="X46" s="150"/>
      <c r="Y46" s="150"/>
      <c r="Z46" s="150"/>
      <c r="AA46" s="150"/>
    </row>
    <row r="47" spans="1:27" s="148" customFormat="1" x14ac:dyDescent="0.25">
      <c r="A47" s="67" t="s">
        <v>206</v>
      </c>
      <c r="B47" s="45"/>
      <c r="C47" s="42">
        <v>0</v>
      </c>
      <c r="D47" s="37" t="s">
        <v>56</v>
      </c>
      <c r="E47" s="55">
        <v>0</v>
      </c>
      <c r="F47" s="133">
        <f t="shared" si="3"/>
        <v>0</v>
      </c>
      <c r="G47" s="133">
        <f t="shared" si="4"/>
        <v>0</v>
      </c>
      <c r="H47" s="170"/>
      <c r="I47" s="145"/>
      <c r="J47" s="145"/>
      <c r="K47" s="145"/>
      <c r="L47" s="145"/>
      <c r="O47" s="149"/>
      <c r="P47" s="149"/>
      <c r="Q47" s="149"/>
      <c r="R47" s="149"/>
      <c r="S47" s="150"/>
      <c r="T47" s="150"/>
      <c r="U47" s="150"/>
      <c r="V47" s="150"/>
      <c r="W47" s="150"/>
      <c r="X47" s="150"/>
      <c r="Y47" s="150"/>
      <c r="Z47" s="150"/>
      <c r="AA47" s="150"/>
    </row>
    <row r="48" spans="1:27" s="148" customFormat="1" x14ac:dyDescent="0.25">
      <c r="A48" s="67" t="s">
        <v>64</v>
      </c>
      <c r="B48" s="45"/>
      <c r="C48" s="42">
        <v>0</v>
      </c>
      <c r="D48" s="37" t="s">
        <v>35</v>
      </c>
      <c r="E48" s="55">
        <v>0</v>
      </c>
      <c r="F48" s="133">
        <f t="shared" si="3"/>
        <v>0</v>
      </c>
      <c r="G48" s="133">
        <f t="shared" si="4"/>
        <v>0</v>
      </c>
      <c r="H48" s="170"/>
      <c r="I48" s="145"/>
      <c r="J48" s="145"/>
      <c r="K48" s="145"/>
      <c r="L48" s="145"/>
      <c r="O48" s="149"/>
      <c r="P48" s="149"/>
      <c r="Q48" s="149"/>
      <c r="R48" s="149"/>
      <c r="S48" s="150"/>
      <c r="T48" s="150"/>
      <c r="U48" s="150"/>
      <c r="V48" s="150"/>
      <c r="W48" s="150"/>
      <c r="X48" s="150"/>
      <c r="Y48" s="150"/>
      <c r="Z48" s="150"/>
      <c r="AA48" s="150"/>
    </row>
    <row r="49" spans="1:29" s="148" customFormat="1" x14ac:dyDescent="0.25">
      <c r="A49" s="180"/>
      <c r="B49" s="181" t="s">
        <v>52</v>
      </c>
      <c r="C49" s="182"/>
      <c r="D49" s="181"/>
      <c r="E49" s="183"/>
      <c r="F49" s="56">
        <f>SUM(F30:F48)</f>
        <v>0</v>
      </c>
      <c r="G49" s="134">
        <f t="shared" si="4"/>
        <v>0</v>
      </c>
      <c r="H49" s="170"/>
      <c r="I49" s="145"/>
      <c r="J49" s="145"/>
      <c r="K49" s="145"/>
      <c r="L49" s="145"/>
      <c r="O49" s="149"/>
      <c r="P49" s="149"/>
      <c r="Q49" s="149"/>
      <c r="R49" s="149"/>
      <c r="S49" s="150"/>
      <c r="T49" s="150"/>
      <c r="U49" s="150"/>
      <c r="V49" s="150"/>
      <c r="W49" s="150"/>
      <c r="X49" s="150"/>
      <c r="Y49" s="150"/>
      <c r="Z49" s="150"/>
      <c r="AA49" s="150"/>
    </row>
    <row r="50" spans="1:29" s="148" customFormat="1" x14ac:dyDescent="0.25">
      <c r="A50" s="125" t="s">
        <v>102</v>
      </c>
      <c r="B50" s="122"/>
      <c r="C50" s="41">
        <v>0</v>
      </c>
      <c r="D50" s="123" t="s">
        <v>62</v>
      </c>
      <c r="E50" s="139">
        <f>Investeringskalkyl!$F$66</f>
        <v>24775.125448028673</v>
      </c>
      <c r="F50" s="133">
        <f>C50/100*E50</f>
        <v>0</v>
      </c>
      <c r="G50" s="133">
        <f t="shared" si="4"/>
        <v>0</v>
      </c>
      <c r="H50" s="170"/>
      <c r="I50" s="145"/>
      <c r="J50" s="145"/>
      <c r="K50" s="145"/>
      <c r="L50" s="145"/>
      <c r="O50" s="149"/>
      <c r="P50" s="149"/>
      <c r="Q50" s="149"/>
      <c r="R50" s="149"/>
      <c r="S50" s="150"/>
      <c r="T50" s="150"/>
      <c r="U50" s="150"/>
      <c r="V50" s="150"/>
      <c r="W50" s="150"/>
      <c r="X50" s="150"/>
      <c r="Y50" s="150"/>
      <c r="Z50" s="150"/>
      <c r="AA50" s="150"/>
    </row>
    <row r="51" spans="1:29" s="148" customFormat="1" x14ac:dyDescent="0.25">
      <c r="A51" s="125" t="s">
        <v>53</v>
      </c>
      <c r="B51" s="184" t="s">
        <v>72</v>
      </c>
      <c r="C51" s="138">
        <f>($E$20+$E$30)/2</f>
        <v>0</v>
      </c>
      <c r="D51" s="123" t="s">
        <v>35</v>
      </c>
      <c r="E51" s="137">
        <f>Investeringskalkyl!$B$23</f>
        <v>0.05</v>
      </c>
      <c r="F51" s="133">
        <f>C51*E51</f>
        <v>0</v>
      </c>
      <c r="G51" s="133">
        <f t="shared" si="4"/>
        <v>0</v>
      </c>
      <c r="H51" s="170"/>
      <c r="I51" s="145"/>
      <c r="J51" s="145"/>
      <c r="K51" s="145"/>
      <c r="L51" s="145"/>
      <c r="O51" s="149"/>
      <c r="P51" s="149"/>
      <c r="Q51" s="149"/>
      <c r="R51" s="149"/>
      <c r="S51" s="150"/>
      <c r="T51" s="150"/>
      <c r="U51" s="150"/>
      <c r="V51" s="150"/>
      <c r="W51" s="150"/>
      <c r="X51" s="150"/>
      <c r="Y51" s="150"/>
      <c r="Z51" s="150"/>
      <c r="AA51" s="150"/>
    </row>
    <row r="52" spans="1:29" s="148" customFormat="1" x14ac:dyDescent="0.25">
      <c r="A52" s="125" t="s">
        <v>128</v>
      </c>
      <c r="B52" s="184" t="s">
        <v>72</v>
      </c>
      <c r="C52" s="138">
        <f>(($F$49-$F$30)+SUM(F56:F60))/5</f>
        <v>0</v>
      </c>
      <c r="D52" s="123" t="s">
        <v>35</v>
      </c>
      <c r="E52" s="137">
        <f>Investeringskalkyl!$B$23</f>
        <v>0.05</v>
      </c>
      <c r="F52" s="133">
        <f>C52*E52</f>
        <v>0</v>
      </c>
      <c r="G52" s="133">
        <f t="shared" si="4"/>
        <v>0</v>
      </c>
      <c r="H52" s="170"/>
      <c r="I52" s="145"/>
      <c r="J52" s="145"/>
      <c r="K52" s="145"/>
      <c r="L52" s="145"/>
      <c r="O52" s="149"/>
      <c r="P52" s="149"/>
      <c r="Q52" s="149"/>
      <c r="R52" s="149"/>
      <c r="S52" s="150"/>
      <c r="T52" s="150"/>
      <c r="U52" s="150"/>
      <c r="V52" s="150"/>
      <c r="W52" s="150"/>
      <c r="X52" s="150"/>
      <c r="Y52" s="150"/>
      <c r="Z52" s="150"/>
      <c r="AA52" s="150"/>
    </row>
    <row r="53" spans="1:29" s="148" customFormat="1" x14ac:dyDescent="0.25">
      <c r="A53" s="125"/>
      <c r="B53" s="184"/>
      <c r="C53" s="126"/>
      <c r="D53" s="124"/>
      <c r="E53" s="224"/>
      <c r="F53" s="133">
        <f>C53*E53</f>
        <v>0</v>
      </c>
      <c r="G53" s="133">
        <f t="shared" si="4"/>
        <v>0</v>
      </c>
      <c r="H53" s="170"/>
      <c r="I53" s="145"/>
      <c r="J53" s="145"/>
      <c r="K53" s="145"/>
      <c r="L53" s="145"/>
      <c r="O53" s="149"/>
      <c r="P53" s="149"/>
      <c r="Q53" s="149"/>
      <c r="R53" s="149"/>
      <c r="S53" s="150"/>
      <c r="T53" s="150"/>
      <c r="U53" s="150"/>
      <c r="V53" s="150"/>
      <c r="W53" s="150"/>
      <c r="X53" s="150"/>
      <c r="Y53" s="150"/>
      <c r="Z53" s="150"/>
      <c r="AA53" s="150"/>
    </row>
    <row r="54" spans="1:29" s="148" customFormat="1" x14ac:dyDescent="0.25">
      <c r="A54" s="185"/>
      <c r="B54" s="181" t="s">
        <v>54</v>
      </c>
      <c r="C54" s="186" t="s">
        <v>34</v>
      </c>
      <c r="D54" s="181"/>
      <c r="E54" s="183" t="s">
        <v>34</v>
      </c>
      <c r="F54" s="56">
        <f>SUM(F50:F53)</f>
        <v>0</v>
      </c>
      <c r="G54" s="134">
        <f t="shared" si="4"/>
        <v>0</v>
      </c>
      <c r="H54" s="170"/>
      <c r="I54" s="145"/>
      <c r="J54" s="145"/>
      <c r="K54" s="145"/>
      <c r="L54" s="145"/>
      <c r="O54" s="149"/>
      <c r="P54" s="149"/>
      <c r="Q54" s="149"/>
      <c r="R54" s="149"/>
      <c r="S54" s="150"/>
      <c r="T54" s="150"/>
      <c r="U54" s="150"/>
      <c r="V54" s="150"/>
      <c r="W54" s="150"/>
      <c r="X54" s="150"/>
      <c r="Y54" s="150"/>
      <c r="Z54" s="150"/>
      <c r="AA54" s="150"/>
    </row>
    <row r="55" spans="1:29" s="148" customFormat="1" x14ac:dyDescent="0.25">
      <c r="A55" s="125" t="s">
        <v>55</v>
      </c>
      <c r="B55" s="184" t="s">
        <v>72</v>
      </c>
      <c r="C55" s="126">
        <f>IF(Investeringskalkyl!$C$14="mjölkkor",1,0)</f>
        <v>0</v>
      </c>
      <c r="D55" s="124" t="s">
        <v>35</v>
      </c>
      <c r="E55" s="139">
        <f>Investeringskalkyl!$F$67*(Investeringskalkyl!$B$23/(1-(1+Investeringskalkyl!$B$23)^(-Investeringskalkyl!$B$26)))</f>
        <v>1972.5168308916927</v>
      </c>
      <c r="F55" s="133">
        <f t="shared" ref="F55:F60" si="5">C55*E55</f>
        <v>0</v>
      </c>
      <c r="G55" s="133">
        <f t="shared" si="4"/>
        <v>0</v>
      </c>
      <c r="H55" s="170"/>
      <c r="I55" s="145"/>
      <c r="J55" s="145"/>
      <c r="K55" s="145"/>
      <c r="L55" s="145"/>
      <c r="O55" s="149"/>
      <c r="P55" s="149"/>
      <c r="Q55" s="149"/>
      <c r="R55" s="149"/>
      <c r="S55" s="150"/>
      <c r="T55" s="150"/>
      <c r="U55" s="150"/>
      <c r="V55" s="150"/>
      <c r="W55" s="150"/>
      <c r="X55" s="150"/>
      <c r="Y55" s="150"/>
      <c r="Z55" s="150"/>
      <c r="AA55" s="150"/>
    </row>
    <row r="56" spans="1:29" s="148" customFormat="1" x14ac:dyDescent="0.25">
      <c r="A56" s="67" t="s">
        <v>67</v>
      </c>
      <c r="B56" s="45"/>
      <c r="C56" s="42">
        <v>0</v>
      </c>
      <c r="D56" s="37" t="s">
        <v>34</v>
      </c>
      <c r="E56" s="53">
        <v>0</v>
      </c>
      <c r="F56" s="133">
        <f t="shared" si="5"/>
        <v>0</v>
      </c>
      <c r="G56" s="133">
        <f t="shared" si="4"/>
        <v>0</v>
      </c>
      <c r="H56" s="170"/>
      <c r="I56" s="145"/>
      <c r="J56" s="145"/>
      <c r="K56" s="145"/>
      <c r="L56" s="145"/>
      <c r="O56" s="149"/>
      <c r="P56" s="149"/>
      <c r="Q56" s="149"/>
      <c r="R56" s="149"/>
      <c r="S56" s="150"/>
      <c r="T56" s="150"/>
      <c r="U56" s="150"/>
      <c r="V56" s="150"/>
      <c r="W56" s="150"/>
      <c r="X56" s="150"/>
      <c r="Y56" s="150"/>
      <c r="Z56" s="150"/>
      <c r="AA56" s="150"/>
    </row>
    <row r="57" spans="1:29" s="148" customFormat="1" x14ac:dyDescent="0.25">
      <c r="A57" s="67" t="s">
        <v>68</v>
      </c>
      <c r="B57" s="52"/>
      <c r="C57" s="42">
        <v>0</v>
      </c>
      <c r="D57" s="37"/>
      <c r="E57" s="54">
        <v>0</v>
      </c>
      <c r="F57" s="133">
        <f t="shared" si="5"/>
        <v>0</v>
      </c>
      <c r="G57" s="133">
        <f t="shared" si="4"/>
        <v>0</v>
      </c>
      <c r="H57" s="145"/>
      <c r="I57" s="145"/>
      <c r="J57" s="145"/>
      <c r="K57" s="145"/>
      <c r="L57" s="145"/>
      <c r="O57" s="149"/>
      <c r="P57" s="149"/>
      <c r="Q57" s="149"/>
      <c r="R57" s="149"/>
      <c r="S57" s="150"/>
      <c r="T57" s="150"/>
      <c r="U57" s="150"/>
      <c r="V57" s="150"/>
      <c r="W57" s="150"/>
      <c r="X57" s="150"/>
      <c r="Y57" s="150"/>
      <c r="Z57" s="150"/>
      <c r="AA57" s="150"/>
    </row>
    <row r="58" spans="1:29" s="148" customFormat="1" x14ac:dyDescent="0.25">
      <c r="A58" s="67" t="s">
        <v>61</v>
      </c>
      <c r="B58" s="45"/>
      <c r="C58" s="42">
        <v>0</v>
      </c>
      <c r="D58" s="37" t="s">
        <v>56</v>
      </c>
      <c r="E58" s="55">
        <v>220</v>
      </c>
      <c r="F58" s="133">
        <f t="shared" si="5"/>
        <v>0</v>
      </c>
      <c r="G58" s="133">
        <f t="shared" si="4"/>
        <v>0</v>
      </c>
      <c r="H58" s="170"/>
      <c r="I58" s="145"/>
      <c r="J58" s="145"/>
      <c r="K58" s="145"/>
      <c r="L58" s="145"/>
      <c r="O58" s="149"/>
      <c r="P58" s="149"/>
      <c r="Q58" s="149"/>
      <c r="R58" s="149"/>
      <c r="S58" s="150"/>
      <c r="T58" s="150"/>
      <c r="U58" s="150"/>
      <c r="V58" s="150"/>
      <c r="W58" s="150"/>
      <c r="X58" s="150"/>
      <c r="Y58" s="150"/>
      <c r="Z58" s="150"/>
      <c r="AA58" s="150"/>
    </row>
    <row r="59" spans="1:29" s="148" customFormat="1" x14ac:dyDescent="0.25">
      <c r="A59" s="67" t="s">
        <v>111</v>
      </c>
      <c r="B59" s="45"/>
      <c r="C59" s="42">
        <v>0</v>
      </c>
      <c r="D59" s="37" t="s">
        <v>56</v>
      </c>
      <c r="E59" s="55"/>
      <c r="F59" s="133">
        <f t="shared" si="5"/>
        <v>0</v>
      </c>
      <c r="G59" s="133">
        <f t="shared" si="4"/>
        <v>0</v>
      </c>
      <c r="H59" s="170"/>
      <c r="I59" s="145"/>
      <c r="J59" s="145"/>
      <c r="K59" s="145"/>
      <c r="L59" s="145"/>
      <c r="O59" s="149"/>
      <c r="P59" s="149"/>
      <c r="Q59" s="149"/>
      <c r="R59" s="149"/>
      <c r="S59" s="150"/>
      <c r="T59" s="150"/>
      <c r="U59" s="150"/>
      <c r="V59" s="150"/>
      <c r="W59" s="150"/>
      <c r="X59" s="150"/>
      <c r="Y59" s="150"/>
      <c r="Z59" s="150"/>
      <c r="AA59" s="150"/>
    </row>
    <row r="60" spans="1:29" s="148" customFormat="1" x14ac:dyDescent="0.25">
      <c r="A60" s="67"/>
      <c r="B60" s="45"/>
      <c r="C60" s="42"/>
      <c r="D60" s="37"/>
      <c r="E60" s="55"/>
      <c r="F60" s="133">
        <f t="shared" si="5"/>
        <v>0</v>
      </c>
      <c r="G60" s="133">
        <f t="shared" si="4"/>
        <v>0</v>
      </c>
      <c r="H60" s="170"/>
      <c r="I60" s="145"/>
      <c r="J60" s="145"/>
      <c r="K60" s="145"/>
      <c r="L60" s="145"/>
      <c r="O60" s="149"/>
      <c r="P60" s="149"/>
      <c r="Q60" s="149"/>
      <c r="R60" s="149"/>
      <c r="S60" s="150"/>
      <c r="T60" s="150"/>
      <c r="U60" s="150"/>
      <c r="V60" s="150"/>
      <c r="W60" s="150"/>
      <c r="X60" s="150"/>
      <c r="Y60" s="150"/>
      <c r="Z60" s="150"/>
      <c r="AA60" s="150"/>
    </row>
    <row r="61" spans="1:29" s="148" customFormat="1" x14ac:dyDescent="0.25">
      <c r="A61" s="187"/>
      <c r="B61" s="181" t="s">
        <v>57</v>
      </c>
      <c r="C61" s="182"/>
      <c r="D61" s="181"/>
      <c r="E61" s="188"/>
      <c r="F61" s="56">
        <f>SUM(F55:F60)</f>
        <v>0</v>
      </c>
      <c r="G61" s="134">
        <f>F61*$B$4</f>
        <v>0</v>
      </c>
      <c r="H61" s="145"/>
      <c r="I61" s="145"/>
      <c r="J61" s="145"/>
      <c r="K61" s="145"/>
      <c r="L61" s="145"/>
      <c r="O61" s="149"/>
      <c r="P61" s="149"/>
      <c r="Q61" s="149"/>
      <c r="R61" s="149"/>
      <c r="S61" s="150"/>
      <c r="T61" s="150"/>
      <c r="U61" s="150"/>
      <c r="V61" s="150"/>
      <c r="W61" s="150"/>
      <c r="X61" s="150"/>
      <c r="Y61" s="150"/>
      <c r="Z61" s="150"/>
      <c r="AA61" s="150"/>
    </row>
    <row r="62" spans="1:29" s="148" customFormat="1" x14ac:dyDescent="0.25">
      <c r="A62" s="180" t="s">
        <v>73</v>
      </c>
      <c r="B62" s="181"/>
      <c r="C62" s="182"/>
      <c r="D62" s="181"/>
      <c r="E62" s="188"/>
      <c r="F62" s="56">
        <f>$F$49+$F$54+$F$61</f>
        <v>0</v>
      </c>
      <c r="G62" s="134">
        <f>F62*$B$4</f>
        <v>0</v>
      </c>
      <c r="H62" s="145"/>
      <c r="I62" s="145"/>
      <c r="J62" s="145"/>
      <c r="K62" s="145"/>
      <c r="L62" s="145"/>
      <c r="O62" s="149"/>
      <c r="P62" s="149"/>
      <c r="Q62" s="149"/>
      <c r="R62" s="149"/>
      <c r="S62" s="150"/>
      <c r="T62" s="150"/>
      <c r="U62" s="150"/>
      <c r="V62" s="150"/>
      <c r="W62" s="150"/>
      <c r="X62" s="150"/>
      <c r="Y62" s="150"/>
      <c r="Z62" s="150"/>
      <c r="AA62" s="150"/>
    </row>
    <row r="63" spans="1:29" s="148" customFormat="1" x14ac:dyDescent="0.25">
      <c r="A63" s="125"/>
      <c r="B63" s="145"/>
      <c r="C63" s="145"/>
      <c r="D63" s="145"/>
      <c r="E63" s="145"/>
      <c r="F63" s="135"/>
      <c r="G63" s="225"/>
      <c r="H63" s="145"/>
      <c r="I63" s="145"/>
      <c r="J63" s="145"/>
      <c r="K63" s="145"/>
      <c r="L63" s="145"/>
      <c r="O63" s="149"/>
      <c r="P63" s="149"/>
      <c r="Q63" s="149"/>
      <c r="R63" s="149"/>
      <c r="S63" s="150"/>
      <c r="T63" s="150"/>
      <c r="U63" s="150"/>
      <c r="V63" s="150"/>
      <c r="W63" s="150"/>
      <c r="X63" s="150"/>
      <c r="Y63" s="150"/>
      <c r="Z63" s="150"/>
      <c r="AA63" s="150"/>
    </row>
    <row r="64" spans="1:29" s="148" customFormat="1" x14ac:dyDescent="0.25">
      <c r="A64" s="189"/>
      <c r="C64" s="145"/>
      <c r="D64" s="145"/>
      <c r="E64" s="190"/>
      <c r="F64" s="126"/>
      <c r="G64" s="191"/>
      <c r="H64" s="192"/>
      <c r="I64" s="145"/>
      <c r="J64" s="145"/>
      <c r="K64" s="145"/>
      <c r="L64" s="145"/>
      <c r="M64" s="145"/>
      <c r="N64" s="145"/>
      <c r="Q64" s="149"/>
      <c r="R64" s="149"/>
      <c r="S64" s="149"/>
      <c r="T64" s="149"/>
      <c r="U64" s="150"/>
      <c r="V64" s="150"/>
      <c r="W64" s="150"/>
      <c r="X64" s="150"/>
      <c r="Y64" s="150"/>
      <c r="Z64" s="150"/>
      <c r="AA64" s="150"/>
      <c r="AB64" s="150"/>
      <c r="AC64" s="150"/>
    </row>
    <row r="65" spans="1:29" s="148" customFormat="1" x14ac:dyDescent="0.25">
      <c r="A65" s="189"/>
      <c r="C65" s="145"/>
      <c r="D65" s="145"/>
      <c r="E65" s="190"/>
      <c r="G65" s="145"/>
      <c r="H65" s="193"/>
      <c r="I65" s="145"/>
      <c r="J65" s="145"/>
      <c r="K65" s="145"/>
      <c r="L65" s="145"/>
      <c r="M65" s="145"/>
      <c r="N65" s="145"/>
      <c r="Q65" s="149"/>
      <c r="R65" s="149"/>
      <c r="S65" s="149"/>
      <c r="T65" s="149"/>
      <c r="U65" s="150"/>
      <c r="V65" s="150"/>
      <c r="W65" s="150"/>
      <c r="X65" s="150"/>
      <c r="Y65" s="150"/>
      <c r="Z65" s="150"/>
      <c r="AA65" s="150"/>
      <c r="AB65" s="150"/>
      <c r="AC65" s="150"/>
    </row>
    <row r="66" spans="1:29" s="148" customFormat="1" x14ac:dyDescent="0.25">
      <c r="A66" s="189"/>
      <c r="C66" s="145"/>
      <c r="D66" s="145"/>
      <c r="E66" s="190"/>
      <c r="G66" s="145"/>
      <c r="H66" s="193"/>
      <c r="I66" s="145"/>
      <c r="J66" s="145"/>
      <c r="K66" s="145"/>
      <c r="L66" s="145"/>
      <c r="M66" s="145"/>
      <c r="N66" s="145"/>
      <c r="Q66" s="149"/>
      <c r="R66" s="149"/>
      <c r="S66" s="149"/>
      <c r="T66" s="149"/>
      <c r="U66" s="150"/>
      <c r="V66" s="150"/>
      <c r="W66" s="150"/>
      <c r="X66" s="150"/>
      <c r="Y66" s="150"/>
      <c r="Z66" s="150"/>
      <c r="AA66" s="150"/>
      <c r="AB66" s="150"/>
      <c r="AC66" s="150"/>
    </row>
    <row r="67" spans="1:29" s="148" customFormat="1" x14ac:dyDescent="0.25">
      <c r="A67" s="189"/>
      <c r="C67" s="145"/>
      <c r="D67" s="145"/>
      <c r="E67" s="190"/>
      <c r="G67" s="145"/>
      <c r="H67" s="192"/>
      <c r="I67" s="145"/>
      <c r="J67" s="145"/>
      <c r="K67" s="145"/>
      <c r="L67" s="145"/>
      <c r="M67" s="145"/>
      <c r="N67" s="145"/>
      <c r="Q67" s="149"/>
      <c r="R67" s="149"/>
      <c r="S67" s="149"/>
      <c r="T67" s="149"/>
      <c r="U67" s="150"/>
      <c r="V67" s="150"/>
      <c r="W67" s="150"/>
      <c r="X67" s="150"/>
      <c r="Y67" s="150"/>
      <c r="Z67" s="150"/>
      <c r="AA67" s="150"/>
      <c r="AB67" s="150"/>
      <c r="AC67" s="150"/>
    </row>
    <row r="68" spans="1:29" s="148" customFormat="1" x14ac:dyDescent="0.25">
      <c r="A68" s="189"/>
      <c r="C68" s="145"/>
      <c r="D68" s="145"/>
      <c r="E68" s="190"/>
      <c r="G68" s="145"/>
      <c r="H68" s="192"/>
      <c r="I68" s="145"/>
      <c r="J68" s="145"/>
      <c r="K68" s="145"/>
      <c r="L68" s="145"/>
      <c r="M68" s="145"/>
      <c r="N68" s="145"/>
      <c r="Q68" s="149"/>
      <c r="R68" s="149"/>
      <c r="S68" s="149"/>
      <c r="T68" s="149"/>
      <c r="U68" s="150"/>
      <c r="V68" s="150"/>
      <c r="W68" s="150"/>
      <c r="X68" s="150"/>
      <c r="Y68" s="150"/>
      <c r="Z68" s="150"/>
      <c r="AA68" s="150"/>
      <c r="AB68" s="150"/>
      <c r="AC68" s="150"/>
    </row>
    <row r="69" spans="1:29" s="148" customFormat="1" x14ac:dyDescent="0.25">
      <c r="A69" s="189"/>
      <c r="C69" s="145"/>
      <c r="D69" s="145"/>
      <c r="E69" s="190"/>
      <c r="G69" s="145"/>
      <c r="H69" s="147"/>
      <c r="I69" s="145"/>
      <c r="J69" s="145"/>
      <c r="M69" s="149"/>
      <c r="N69" s="149"/>
      <c r="O69" s="149"/>
      <c r="P69" s="149"/>
      <c r="Q69" s="150"/>
      <c r="R69" s="150"/>
      <c r="S69" s="150"/>
      <c r="T69" s="150"/>
      <c r="U69" s="150"/>
      <c r="V69" s="150"/>
      <c r="W69" s="150"/>
      <c r="X69" s="150"/>
      <c r="Y69" s="150"/>
    </row>
    <row r="70" spans="1:29" s="148" customFormat="1" x14ac:dyDescent="0.25">
      <c r="A70" s="189"/>
      <c r="C70" s="145"/>
      <c r="D70" s="145"/>
      <c r="E70" s="190"/>
      <c r="G70" s="145"/>
      <c r="H70" s="147"/>
      <c r="I70" s="145"/>
      <c r="J70" s="145"/>
      <c r="M70" s="149"/>
      <c r="N70" s="149"/>
      <c r="O70" s="149"/>
      <c r="P70" s="149"/>
      <c r="Q70" s="150"/>
      <c r="R70" s="150"/>
      <c r="S70" s="150"/>
      <c r="T70" s="150"/>
      <c r="U70" s="150"/>
      <c r="V70" s="150"/>
      <c r="W70" s="150"/>
      <c r="X70" s="150"/>
      <c r="Y70" s="150"/>
    </row>
    <row r="71" spans="1:29" s="148" customFormat="1" x14ac:dyDescent="0.25">
      <c r="C71" s="145"/>
      <c r="D71" s="145"/>
      <c r="E71" s="190"/>
      <c r="G71" s="145"/>
      <c r="H71" s="147"/>
      <c r="I71" s="145"/>
      <c r="J71" s="145"/>
      <c r="M71" s="149"/>
      <c r="N71" s="149"/>
      <c r="O71" s="149"/>
      <c r="P71" s="149"/>
      <c r="Q71" s="150"/>
      <c r="R71" s="150"/>
      <c r="S71" s="150"/>
      <c r="T71" s="150"/>
      <c r="U71" s="150"/>
      <c r="V71" s="150"/>
      <c r="W71" s="150"/>
      <c r="X71" s="150"/>
      <c r="Y71" s="150"/>
    </row>
    <row r="72" spans="1:29" s="148" customFormat="1" x14ac:dyDescent="0.25">
      <c r="C72" s="145"/>
      <c r="D72" s="145"/>
      <c r="E72" s="190"/>
      <c r="G72" s="145"/>
      <c r="H72" s="147"/>
      <c r="I72" s="145"/>
      <c r="J72" s="145"/>
      <c r="M72" s="149"/>
      <c r="N72" s="149"/>
      <c r="O72" s="149"/>
      <c r="P72" s="149"/>
      <c r="Q72" s="150"/>
      <c r="R72" s="150"/>
      <c r="S72" s="150"/>
      <c r="T72" s="150"/>
      <c r="U72" s="150"/>
      <c r="V72" s="150"/>
    </row>
    <row r="73" spans="1:29" s="148" customFormat="1" x14ac:dyDescent="0.25">
      <c r="C73" s="145"/>
      <c r="D73" s="145"/>
      <c r="E73" s="190"/>
      <c r="G73" s="145"/>
      <c r="H73" s="147"/>
      <c r="I73" s="145"/>
      <c r="J73" s="145"/>
      <c r="M73" s="149"/>
      <c r="N73" s="149"/>
      <c r="O73" s="149"/>
      <c r="P73" s="149"/>
      <c r="Q73" s="150"/>
      <c r="R73" s="150"/>
      <c r="S73" s="150"/>
      <c r="T73" s="150"/>
      <c r="U73" s="150"/>
      <c r="V73" s="150"/>
    </row>
    <row r="74" spans="1:29" s="148" customFormat="1" x14ac:dyDescent="0.25">
      <c r="C74" s="145"/>
      <c r="D74" s="145"/>
      <c r="E74" s="190"/>
      <c r="G74" s="145"/>
      <c r="H74" s="147"/>
      <c r="I74" s="145"/>
      <c r="J74" s="145"/>
      <c r="M74" s="149"/>
      <c r="N74" s="149"/>
      <c r="O74" s="149"/>
      <c r="P74" s="149"/>
      <c r="Q74" s="150"/>
      <c r="R74" s="150"/>
      <c r="S74" s="150"/>
      <c r="T74" s="150"/>
      <c r="U74" s="150"/>
      <c r="V74" s="150"/>
    </row>
    <row r="75" spans="1:29" x14ac:dyDescent="0.25">
      <c r="C75" s="145"/>
      <c r="D75" s="145"/>
      <c r="E75" s="190"/>
      <c r="F75" s="148"/>
      <c r="G75" s="145"/>
      <c r="I75" s="145"/>
    </row>
    <row r="76" spans="1:29" x14ac:dyDescent="0.25">
      <c r="C76" s="145"/>
      <c r="D76" s="145"/>
      <c r="E76" s="190"/>
      <c r="F76" s="148"/>
      <c r="G76" s="145"/>
    </row>
    <row r="77" spans="1:29" x14ac:dyDescent="0.25">
      <c r="B77" s="194"/>
    </row>
    <row r="78" spans="1:29" x14ac:dyDescent="0.25">
      <c r="B78" s="194"/>
    </row>
    <row r="79" spans="1:29" x14ac:dyDescent="0.25">
      <c r="B79" s="194"/>
    </row>
  </sheetData>
  <sheetProtection sheet="1" objects="1" scenarios="1"/>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E46" sqref="E46"/>
    </sheetView>
  </sheetViews>
  <sheetFormatPr defaultRowHeight="14.4" x14ac:dyDescent="0.3"/>
  <sheetData>
    <row r="1" spans="1:1" ht="18" x14ac:dyDescent="0.35">
      <c r="A1" s="235" t="s">
        <v>212</v>
      </c>
    </row>
    <row r="2" spans="1:1" x14ac:dyDescent="0.3">
      <c r="A2" t="s">
        <v>33</v>
      </c>
    </row>
    <row r="3" spans="1:1" x14ac:dyDescent="0.3">
      <c r="A3" t="s">
        <v>28</v>
      </c>
    </row>
    <row r="4" spans="1:1" x14ac:dyDescent="0.3">
      <c r="A4" t="s">
        <v>29</v>
      </c>
    </row>
    <row r="5" spans="1:1" x14ac:dyDescent="0.3">
      <c r="A5" t="s">
        <v>127</v>
      </c>
    </row>
    <row r="6" spans="1:1" x14ac:dyDescent="0.3">
      <c r="A6" t="s">
        <v>30</v>
      </c>
    </row>
    <row r="7" spans="1:1" x14ac:dyDescent="0.3">
      <c r="A7" t="s">
        <v>31</v>
      </c>
    </row>
    <row r="8" spans="1:1" x14ac:dyDescent="0.3">
      <c r="A8"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3</vt:i4>
      </vt:variant>
    </vt:vector>
  </HeadingPairs>
  <TitlesOfParts>
    <vt:vector size="12" baseType="lpstr">
      <vt:lpstr>Intro</vt:lpstr>
      <vt:lpstr>Investeringskalkyl</vt:lpstr>
      <vt:lpstr>Driftkalkyl - Dikor</vt:lpstr>
      <vt:lpstr>Driftkalkyl - Smågrisar</vt:lpstr>
      <vt:lpstr>Driftkalkyl - Slaktgrisar</vt:lpstr>
      <vt:lpstr>Driftkalkyl - Lamm</vt:lpstr>
      <vt:lpstr>Driftkalkyl - Slaktungnöt</vt:lpstr>
      <vt:lpstr>Driftkalkyl - Mjölkkor</vt:lpstr>
      <vt:lpstr>Blad10</vt:lpstr>
      <vt:lpstr>Djurslag</vt:lpstr>
      <vt:lpstr>'Driftkalkyl - Smågrisar'!Utskriftsområde</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2017-09-11T15:13:07Z</cp:lastPrinted>
  <dcterms:created xsi:type="dcterms:W3CDTF">2016-06-01T07:08:09Z</dcterms:created>
  <dcterms:modified xsi:type="dcterms:W3CDTF">2018-03-06T13:02:19Z</dcterms:modified>
</cp:coreProperties>
</file>